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Общие\Экономисты\ОТЧЕТЫ\программы\2020\год\наш отчет — копия\"/>
    </mc:Choice>
  </mc:AlternateContent>
  <bookViews>
    <workbookView xWindow="-30" yWindow="90" windowWidth="11820" windowHeight="10830"/>
  </bookViews>
  <sheets>
    <sheet name="Лист1" sheetId="1" r:id="rId1"/>
  </sheets>
  <definedNames>
    <definedName name="_xlnm._FilterDatabase" localSheetId="0" hidden="1">Лист1!$A$7:$AC$100</definedName>
    <definedName name="_xlnm.Print_Titles" localSheetId="0">Лист1!$4:$7</definedName>
    <definedName name="_xlnm.Print_Area" localSheetId="0">Лист1!$A$1:$V$191</definedName>
  </definedNames>
  <calcPr calcId="162913"/>
</workbook>
</file>

<file path=xl/calcChain.xml><?xml version="1.0" encoding="utf-8"?>
<calcChain xmlns="http://schemas.openxmlformats.org/spreadsheetml/2006/main">
  <c r="U148" i="1" l="1"/>
  <c r="T148" i="1"/>
  <c r="U20" i="1" l="1"/>
  <c r="S13" i="1" l="1"/>
  <c r="Q120" i="1" l="1"/>
  <c r="Q83" i="1"/>
  <c r="Q190" i="1"/>
  <c r="P174" i="1"/>
  <c r="T174" i="1" s="1"/>
  <c r="Q71" i="1"/>
  <c r="Q11" i="1"/>
  <c r="P148" i="1"/>
  <c r="Q148" i="1"/>
  <c r="U150" i="1"/>
  <c r="Q150" i="1"/>
  <c r="L181" i="1"/>
  <c r="Q191" i="1"/>
  <c r="U191" i="1" s="1"/>
  <c r="U190" i="1"/>
  <c r="Q189" i="1"/>
  <c r="O189" i="1" s="1"/>
  <c r="V188" i="1"/>
  <c r="T188" i="1"/>
  <c r="R188" i="1"/>
  <c r="P188" i="1"/>
  <c r="N188" i="1"/>
  <c r="N181" i="1" s="1"/>
  <c r="M188" i="1"/>
  <c r="L188" i="1"/>
  <c r="J188" i="1"/>
  <c r="H188" i="1"/>
  <c r="K189" i="1"/>
  <c r="I189" i="1"/>
  <c r="I188" i="1" s="1"/>
  <c r="U187" i="1"/>
  <c r="U186" i="1"/>
  <c r="S186" i="1" s="1"/>
  <c r="V185" i="1"/>
  <c r="V181" i="1" s="1"/>
  <c r="T185" i="1"/>
  <c r="T181" i="1" s="1"/>
  <c r="R185" i="1"/>
  <c r="R181" i="1" s="1"/>
  <c r="Q185" i="1"/>
  <c r="P185" i="1"/>
  <c r="P181" i="1" s="1"/>
  <c r="N185" i="1"/>
  <c r="M185" i="1"/>
  <c r="L185" i="1"/>
  <c r="J185" i="1"/>
  <c r="J181" i="1" s="1"/>
  <c r="H185" i="1"/>
  <c r="H181" i="1" s="1"/>
  <c r="O186" i="1"/>
  <c r="K186" i="1"/>
  <c r="I186" i="1"/>
  <c r="G186" i="1" s="1"/>
  <c r="I183" i="1"/>
  <c r="I184" i="1"/>
  <c r="I187" i="1"/>
  <c r="I185" i="1" s="1"/>
  <c r="I190" i="1"/>
  <c r="I182" i="1"/>
  <c r="K180" i="1"/>
  <c r="U178" i="1"/>
  <c r="U177" i="1"/>
  <c r="U176" i="1"/>
  <c r="Q175" i="1"/>
  <c r="Q178" i="1"/>
  <c r="Q177" i="1"/>
  <c r="Q176" i="1"/>
  <c r="S180" i="1"/>
  <c r="W180" i="1" s="1"/>
  <c r="O178" i="1"/>
  <c r="O179" i="1"/>
  <c r="O180" i="1"/>
  <c r="I180" i="1"/>
  <c r="G180" i="1" s="1"/>
  <c r="V175" i="1"/>
  <c r="T175" i="1"/>
  <c r="R175" i="1"/>
  <c r="R161" i="1" s="1"/>
  <c r="P175" i="1"/>
  <c r="N175" i="1"/>
  <c r="N161" i="1" s="1"/>
  <c r="M175" i="1"/>
  <c r="L175" i="1"/>
  <c r="L161" i="1" s="1"/>
  <c r="J175" i="1"/>
  <c r="J161" i="1" s="1"/>
  <c r="H175" i="1"/>
  <c r="I177" i="1"/>
  <c r="G177" i="1" s="1"/>
  <c r="I178" i="1"/>
  <c r="I179" i="1"/>
  <c r="I176" i="1"/>
  <c r="G176" i="1" s="1"/>
  <c r="S176" i="1"/>
  <c r="W176" i="1" s="1"/>
  <c r="O176" i="1"/>
  <c r="K176" i="1"/>
  <c r="T173" i="1"/>
  <c r="U166" i="1"/>
  <c r="U165" i="1"/>
  <c r="Q166" i="1"/>
  <c r="Q164" i="1"/>
  <c r="U164" i="1" s="1"/>
  <c r="Q163" i="1"/>
  <c r="U163" i="1" s="1"/>
  <c r="P171" i="1"/>
  <c r="O171" i="1" s="1"/>
  <c r="V170" i="1"/>
  <c r="U170" i="1"/>
  <c r="R170" i="1"/>
  <c r="N170" i="1"/>
  <c r="M170" i="1"/>
  <c r="L170" i="1"/>
  <c r="J170" i="1"/>
  <c r="I170" i="1"/>
  <c r="H170" i="1"/>
  <c r="H172" i="1"/>
  <c r="H173" i="1"/>
  <c r="H174" i="1"/>
  <c r="H171" i="1"/>
  <c r="K171" i="1"/>
  <c r="G171" i="1"/>
  <c r="I165" i="1"/>
  <c r="I166" i="1"/>
  <c r="I167" i="1"/>
  <c r="I168" i="1"/>
  <c r="I169" i="1"/>
  <c r="I163" i="1"/>
  <c r="G163" i="1" s="1"/>
  <c r="V162" i="1"/>
  <c r="V161" i="1" s="1"/>
  <c r="T162" i="1"/>
  <c r="R162" i="1"/>
  <c r="P162" i="1"/>
  <c r="N162" i="1"/>
  <c r="L162" i="1"/>
  <c r="J162" i="1"/>
  <c r="H162" i="1"/>
  <c r="H161" i="1" s="1"/>
  <c r="M163" i="1"/>
  <c r="K163" i="1"/>
  <c r="U162" i="1" l="1"/>
  <c r="S163" i="1"/>
  <c r="T171" i="1"/>
  <c r="S171" i="1" s="1"/>
  <c r="W171" i="1" s="1"/>
  <c r="U175" i="1"/>
  <c r="Q188" i="1"/>
  <c r="Q181" i="1" s="1"/>
  <c r="G189" i="1"/>
  <c r="U189" i="1"/>
  <c r="I175" i="1"/>
  <c r="Q162" i="1"/>
  <c r="O163" i="1"/>
  <c r="P170" i="1"/>
  <c r="P161" i="1" s="1"/>
  <c r="T170" i="1"/>
  <c r="T161" i="1" s="1"/>
  <c r="U185" i="1"/>
  <c r="H159" i="1"/>
  <c r="I159" i="1"/>
  <c r="I156" i="1"/>
  <c r="H156" i="1"/>
  <c r="U188" i="1" l="1"/>
  <c r="U181" i="1" s="1"/>
  <c r="S189" i="1"/>
  <c r="W189" i="1" s="1"/>
  <c r="U161" i="1"/>
  <c r="I150" i="1"/>
  <c r="I148" i="1" l="1"/>
  <c r="H148" i="1"/>
  <c r="U141" i="1" l="1"/>
  <c r="I141" i="1"/>
  <c r="U137" i="1"/>
  <c r="U138" i="1"/>
  <c r="U139" i="1"/>
  <c r="U136" i="1"/>
  <c r="S136" i="1" s="1"/>
  <c r="V134" i="1"/>
  <c r="T134" i="1"/>
  <c r="J134" i="1"/>
  <c r="I134" i="1"/>
  <c r="H134" i="1"/>
  <c r="V135" i="1"/>
  <c r="T135" i="1"/>
  <c r="R135" i="1"/>
  <c r="R134" i="1" s="1"/>
  <c r="Q135" i="1"/>
  <c r="Q134" i="1" s="1"/>
  <c r="N135" i="1"/>
  <c r="N134" i="1" s="1"/>
  <c r="L135" i="1"/>
  <c r="L134" i="1" s="1"/>
  <c r="J135" i="1"/>
  <c r="I135" i="1"/>
  <c r="H135" i="1"/>
  <c r="G136" i="1"/>
  <c r="O136" i="1"/>
  <c r="M136" i="1"/>
  <c r="M135" i="1" s="1"/>
  <c r="M134" i="1" s="1"/>
  <c r="K136" i="1"/>
  <c r="U133" i="1"/>
  <c r="I133" i="1"/>
  <c r="Q130" i="1"/>
  <c r="U130" i="1" s="1"/>
  <c r="I130" i="1"/>
  <c r="I129" i="1"/>
  <c r="I127" i="1"/>
  <c r="I126" i="1"/>
  <c r="Q127" i="1"/>
  <c r="U127" i="1" s="1"/>
  <c r="U126" i="1"/>
  <c r="Q124" i="1"/>
  <c r="U124" i="1" s="1"/>
  <c r="I124" i="1"/>
  <c r="U120" i="1"/>
  <c r="I120" i="1"/>
  <c r="U116" i="1"/>
  <c r="Q118" i="1"/>
  <c r="Q116" i="1"/>
  <c r="I117" i="1"/>
  <c r="I118" i="1"/>
  <c r="I116" i="1"/>
  <c r="G116" i="1" s="1"/>
  <c r="V114" i="1"/>
  <c r="N114" i="1"/>
  <c r="M114" i="1"/>
  <c r="L114" i="1"/>
  <c r="J114" i="1"/>
  <c r="H114" i="1"/>
  <c r="S117" i="1"/>
  <c r="O117" i="1"/>
  <c r="V115" i="1"/>
  <c r="T115" i="1"/>
  <c r="T114" i="1" s="1"/>
  <c r="R115" i="1"/>
  <c r="R114" i="1" s="1"/>
  <c r="Q115" i="1"/>
  <c r="Q114" i="1" s="1"/>
  <c r="P115" i="1"/>
  <c r="P114" i="1" s="1"/>
  <c r="N115" i="1"/>
  <c r="M115" i="1"/>
  <c r="L115" i="1"/>
  <c r="J115" i="1"/>
  <c r="H115" i="1"/>
  <c r="S116" i="1"/>
  <c r="O116" i="1"/>
  <c r="K116" i="1"/>
  <c r="Q107" i="1"/>
  <c r="P107" i="1"/>
  <c r="N107" i="1"/>
  <c r="V108" i="1"/>
  <c r="V107" i="1" s="1"/>
  <c r="T108" i="1"/>
  <c r="T107" i="1" s="1"/>
  <c r="R108" i="1"/>
  <c r="R107" i="1" s="1"/>
  <c r="Q108" i="1"/>
  <c r="P108" i="1"/>
  <c r="N108" i="1"/>
  <c r="M108" i="1"/>
  <c r="M107" i="1" s="1"/>
  <c r="L108" i="1"/>
  <c r="L107" i="1" s="1"/>
  <c r="J108" i="1"/>
  <c r="J107" i="1" s="1"/>
  <c r="H108" i="1"/>
  <c r="H107" i="1" s="1"/>
  <c r="S109" i="1"/>
  <c r="O109" i="1"/>
  <c r="K109" i="1"/>
  <c r="I109" i="1"/>
  <c r="G109" i="1" s="1"/>
  <c r="I110" i="1"/>
  <c r="I111" i="1"/>
  <c r="I112" i="1"/>
  <c r="I113" i="1"/>
  <c r="U100" i="1"/>
  <c r="T100" i="1"/>
  <c r="I100" i="1"/>
  <c r="H100" i="1"/>
  <c r="V92" i="1"/>
  <c r="T92" i="1"/>
  <c r="R92" i="1"/>
  <c r="M92" i="1"/>
  <c r="L92" i="1"/>
  <c r="J92" i="1"/>
  <c r="H92" i="1"/>
  <c r="U95" i="1"/>
  <c r="S95" i="1" s="1"/>
  <c r="Q95" i="1"/>
  <c r="V93" i="1"/>
  <c r="T93" i="1"/>
  <c r="R93" i="1"/>
  <c r="Q93" i="1"/>
  <c r="Q92" i="1" s="1"/>
  <c r="P93" i="1"/>
  <c r="P92" i="1" s="1"/>
  <c r="N93" i="1"/>
  <c r="N92" i="1" s="1"/>
  <c r="M93" i="1"/>
  <c r="L93" i="1"/>
  <c r="K94" i="1"/>
  <c r="K95" i="1"/>
  <c r="U94" i="1"/>
  <c r="U93" i="1" s="1"/>
  <c r="U92" i="1" s="1"/>
  <c r="O94" i="1"/>
  <c r="O95" i="1"/>
  <c r="J93" i="1"/>
  <c r="H93" i="1"/>
  <c r="I94" i="1"/>
  <c r="G94" i="1" s="1"/>
  <c r="I95" i="1"/>
  <c r="G95" i="1" s="1"/>
  <c r="I96" i="1"/>
  <c r="Q89" i="1"/>
  <c r="U89" i="1" s="1"/>
  <c r="H91" i="1"/>
  <c r="I89" i="1"/>
  <c r="Q87" i="1"/>
  <c r="U87" i="1" s="1"/>
  <c r="I87" i="1"/>
  <c r="I82" i="1"/>
  <c r="I83" i="1"/>
  <c r="I81" i="1"/>
  <c r="U82" i="1"/>
  <c r="U83" i="1"/>
  <c r="U81" i="1"/>
  <c r="U71" i="1"/>
  <c r="T71" i="1"/>
  <c r="T68" i="1"/>
  <c r="U68" i="1"/>
  <c r="Q68" i="1"/>
  <c r="H68" i="1"/>
  <c r="Q62" i="1"/>
  <c r="U62" i="1" s="1"/>
  <c r="P62" i="1"/>
  <c r="T62" i="1" s="1"/>
  <c r="U60" i="1"/>
  <c r="Q60" i="1"/>
  <c r="Q56" i="1"/>
  <c r="U56" i="1" s="1"/>
  <c r="I57" i="1"/>
  <c r="I58" i="1"/>
  <c r="I56" i="1"/>
  <c r="U51" i="1"/>
  <c r="Q51" i="1"/>
  <c r="U49" i="1"/>
  <c r="I50" i="1"/>
  <c r="I51" i="1"/>
  <c r="I49" i="1"/>
  <c r="Q47" i="1"/>
  <c r="I47" i="1"/>
  <c r="Q44" i="1"/>
  <c r="I44" i="1"/>
  <c r="J35" i="1"/>
  <c r="H35" i="1"/>
  <c r="U38" i="1"/>
  <c r="U39" i="1"/>
  <c r="Q38" i="1"/>
  <c r="Q37" i="1"/>
  <c r="U37" i="1" s="1"/>
  <c r="S37" i="1" s="1"/>
  <c r="O37" i="1"/>
  <c r="V36" i="1"/>
  <c r="V35" i="1" s="1"/>
  <c r="T36" i="1"/>
  <c r="T35" i="1" s="1"/>
  <c r="R36" i="1"/>
  <c r="R35" i="1" s="1"/>
  <c r="Q36" i="1"/>
  <c r="Q35" i="1" s="1"/>
  <c r="P36" i="1"/>
  <c r="N36" i="1"/>
  <c r="N35" i="1" s="1"/>
  <c r="M36" i="1"/>
  <c r="M35" i="1" s="1"/>
  <c r="L36" i="1"/>
  <c r="L35" i="1" s="1"/>
  <c r="K35" i="1" s="1"/>
  <c r="K37" i="1"/>
  <c r="K38" i="1"/>
  <c r="K39" i="1"/>
  <c r="I38" i="1"/>
  <c r="I39" i="1"/>
  <c r="I37" i="1"/>
  <c r="G37" i="1" s="1"/>
  <c r="J36" i="1"/>
  <c r="H36" i="1"/>
  <c r="Q34" i="1"/>
  <c r="P34" i="1"/>
  <c r="U34" i="1"/>
  <c r="T34" i="1"/>
  <c r="O32" i="1"/>
  <c r="V31" i="1"/>
  <c r="U31" i="1"/>
  <c r="S32" i="1"/>
  <c r="W32" i="1" s="1"/>
  <c r="T33" i="1"/>
  <c r="T31" i="1" s="1"/>
  <c r="T18" i="1" s="1"/>
  <c r="Q31" i="1"/>
  <c r="R31" i="1"/>
  <c r="P31" i="1"/>
  <c r="U27" i="1"/>
  <c r="U26" i="1"/>
  <c r="U25" i="1"/>
  <c r="Q23" i="1"/>
  <c r="U23" i="1" s="1"/>
  <c r="Q22" i="1"/>
  <c r="Q18" i="1" s="1"/>
  <c r="U21" i="1"/>
  <c r="V18" i="1"/>
  <c r="R18" i="1"/>
  <c r="N18" i="1"/>
  <c r="H34" i="1"/>
  <c r="M31" i="1"/>
  <c r="N31" i="1"/>
  <c r="I30" i="1"/>
  <c r="H28" i="1"/>
  <c r="H18" i="1" s="1"/>
  <c r="I20" i="1"/>
  <c r="I21" i="1"/>
  <c r="I22" i="1"/>
  <c r="I23" i="1"/>
  <c r="I24" i="1"/>
  <c r="I25" i="1"/>
  <c r="I26" i="1"/>
  <c r="I27" i="1"/>
  <c r="I28" i="1"/>
  <c r="I19" i="1"/>
  <c r="L31" i="1"/>
  <c r="L18" i="1" s="1"/>
  <c r="K32" i="1"/>
  <c r="J31" i="1"/>
  <c r="J18" i="1" s="1"/>
  <c r="H31" i="1"/>
  <c r="V10" i="1"/>
  <c r="T10" i="1"/>
  <c r="R10" i="1"/>
  <c r="N10" i="1"/>
  <c r="L10" i="1"/>
  <c r="J10" i="1"/>
  <c r="H10" i="1"/>
  <c r="U36" i="1" l="1"/>
  <c r="U35" i="1" s="1"/>
  <c r="S35" i="1" s="1"/>
  <c r="U22" i="1"/>
  <c r="G135" i="1"/>
  <c r="S94" i="1"/>
  <c r="I108" i="1"/>
  <c r="I107" i="1" s="1"/>
  <c r="I115" i="1"/>
  <c r="I114" i="1" s="1"/>
  <c r="U135" i="1"/>
  <c r="U134" i="1" s="1"/>
  <c r="I93" i="1"/>
  <c r="I92" i="1" s="1"/>
  <c r="I36" i="1"/>
  <c r="I35" i="1" s="1"/>
  <c r="G35" i="1" s="1"/>
  <c r="U18" i="1"/>
  <c r="G32" i="1"/>
  <c r="I31" i="1"/>
  <c r="U14" i="1"/>
  <c r="U15" i="1"/>
  <c r="U16" i="1"/>
  <c r="U13" i="1"/>
  <c r="Q12" i="1"/>
  <c r="O13" i="1"/>
  <c r="U12" i="1" l="1"/>
  <c r="U10" i="1" s="1"/>
  <c r="K13" i="1"/>
  <c r="I12" i="1"/>
  <c r="I10" i="1" s="1"/>
  <c r="G10" i="1" s="1"/>
  <c r="G12" i="1"/>
  <c r="G13" i="1"/>
  <c r="S92" i="1" l="1"/>
  <c r="O92" i="1"/>
  <c r="M34" i="1"/>
  <c r="I34" i="1" s="1"/>
  <c r="G92" i="1" l="1"/>
  <c r="S177" i="1" l="1"/>
  <c r="O177" i="1"/>
  <c r="K177" i="1"/>
  <c r="W177" i="1" l="1"/>
  <c r="S135" i="1"/>
  <c r="K117" i="1"/>
  <c r="Q98" i="1"/>
  <c r="U98" i="1" s="1"/>
  <c r="M71" i="1"/>
  <c r="I71" i="1" s="1"/>
  <c r="L71" i="1"/>
  <c r="H71" i="1" s="1"/>
  <c r="O98" i="1" l="1"/>
  <c r="M15" i="1"/>
  <c r="M12" i="1" s="1"/>
  <c r="M10" i="1" s="1"/>
  <c r="P19" i="1" l="1"/>
  <c r="U147" i="1" l="1"/>
  <c r="T147" i="1"/>
  <c r="S190" i="1"/>
  <c r="O188" i="1"/>
  <c r="S188" i="1"/>
  <c r="N155" i="1"/>
  <c r="M155" i="1"/>
  <c r="L155" i="1"/>
  <c r="V155" i="1"/>
  <c r="T155" i="1"/>
  <c r="R155" i="1"/>
  <c r="Q155" i="1"/>
  <c r="P155" i="1"/>
  <c r="Q147" i="1"/>
  <c r="Q146" i="1" s="1"/>
  <c r="P147" i="1"/>
  <c r="T61" i="1"/>
  <c r="S100" i="1"/>
  <c r="U69" i="1"/>
  <c r="U67" i="1"/>
  <c r="T67" i="1"/>
  <c r="Q69" i="1"/>
  <c r="O68" i="1"/>
  <c r="Q67" i="1"/>
  <c r="P80" i="1"/>
  <c r="R80" i="1"/>
  <c r="U80" i="1"/>
  <c r="T80" i="1"/>
  <c r="T86" i="1"/>
  <c r="Q63" i="1"/>
  <c r="O63" i="1" s="1"/>
  <c r="Q64" i="1"/>
  <c r="P64" i="1"/>
  <c r="V55" i="1"/>
  <c r="T55" i="1"/>
  <c r="T48" i="1"/>
  <c r="P48" i="1"/>
  <c r="T46" i="1"/>
  <c r="R46" i="1"/>
  <c r="P46" i="1"/>
  <c r="T43" i="1"/>
  <c r="S45" i="1"/>
  <c r="R43" i="1"/>
  <c r="P44" i="1"/>
  <c r="P43" i="1" s="1"/>
  <c r="S41" i="1"/>
  <c r="S42" i="1"/>
  <c r="P24" i="1"/>
  <c r="P17" i="1"/>
  <c r="Q17" i="1"/>
  <c r="Q10" i="1" s="1"/>
  <c r="S29" i="1"/>
  <c r="S34" i="1"/>
  <c r="S33" i="1"/>
  <c r="S31" i="1"/>
  <c r="S30" i="1"/>
  <c r="T160" i="1"/>
  <c r="T149" i="1"/>
  <c r="T140" i="1"/>
  <c r="U132" i="1"/>
  <c r="T132" i="1"/>
  <c r="U142" i="1"/>
  <c r="T142" i="1"/>
  <c r="V142" i="1"/>
  <c r="U128" i="1"/>
  <c r="T128" i="1"/>
  <c r="T125" i="1"/>
  <c r="T123" i="1"/>
  <c r="T119" i="1"/>
  <c r="V119" i="1"/>
  <c r="U113" i="1"/>
  <c r="U108" i="1" s="1"/>
  <c r="U107" i="1" s="1"/>
  <c r="V99" i="1"/>
  <c r="U99" i="1"/>
  <c r="T99" i="1"/>
  <c r="S99" i="1" s="1"/>
  <c r="V97" i="1"/>
  <c r="U97" i="1"/>
  <c r="T97" i="1"/>
  <c r="V80" i="1"/>
  <c r="V88" i="1"/>
  <c r="V86" i="1"/>
  <c r="U86" i="1"/>
  <c r="S86" i="1" s="1"/>
  <c r="S185" i="1"/>
  <c r="S178" i="1"/>
  <c r="W178" i="1" s="1"/>
  <c r="S175" i="1"/>
  <c r="S162" i="1"/>
  <c r="S134" i="1"/>
  <c r="S130" i="1"/>
  <c r="S127" i="1"/>
  <c r="U125" i="1"/>
  <c r="U123" i="1"/>
  <c r="S120" i="1"/>
  <c r="U118" i="1"/>
  <c r="U115" i="1" s="1"/>
  <c r="U114" i="1" s="1"/>
  <c r="S98" i="1"/>
  <c r="U55" i="1"/>
  <c r="U48" i="1"/>
  <c r="U43" i="1"/>
  <c r="S36" i="1"/>
  <c r="S27" i="1"/>
  <c r="S26" i="1"/>
  <c r="S23" i="1"/>
  <c r="S15" i="1"/>
  <c r="P99" i="1"/>
  <c r="R160" i="1"/>
  <c r="P160" i="1"/>
  <c r="R149" i="1"/>
  <c r="P149" i="1"/>
  <c r="R147" i="1"/>
  <c r="R140" i="1"/>
  <c r="P140" i="1"/>
  <c r="R132" i="1"/>
  <c r="P132" i="1"/>
  <c r="R128" i="1"/>
  <c r="P128" i="1"/>
  <c r="R125" i="1"/>
  <c r="P125" i="1"/>
  <c r="R123" i="1"/>
  <c r="P123" i="1"/>
  <c r="R119" i="1"/>
  <c r="P119" i="1"/>
  <c r="O107" i="1"/>
  <c r="R99" i="1"/>
  <c r="Q99" i="1"/>
  <c r="R97" i="1"/>
  <c r="Q97" i="1"/>
  <c r="P97" i="1"/>
  <c r="R88" i="1"/>
  <c r="P88" i="1"/>
  <c r="R86" i="1"/>
  <c r="P86" i="1"/>
  <c r="R69" i="1"/>
  <c r="R61" i="1"/>
  <c r="R59" i="1"/>
  <c r="P59" i="1"/>
  <c r="R55" i="1"/>
  <c r="P52" i="1"/>
  <c r="R48" i="1"/>
  <c r="O187" i="1"/>
  <c r="O185" i="1"/>
  <c r="O184" i="1"/>
  <c r="O182" i="1"/>
  <c r="Q149" i="1"/>
  <c r="Q140" i="1"/>
  <c r="O138" i="1"/>
  <c r="Q132" i="1"/>
  <c r="Q128" i="1"/>
  <c r="O128" i="1" s="1"/>
  <c r="Q125" i="1"/>
  <c r="O126" i="1"/>
  <c r="Q123" i="1"/>
  <c r="O118" i="1"/>
  <c r="Q88" i="1"/>
  <c r="Q86" i="1"/>
  <c r="Q80" i="1"/>
  <c r="O83" i="1"/>
  <c r="O81" i="1"/>
  <c r="Q59" i="1"/>
  <c r="Q55" i="1"/>
  <c r="Q48" i="1"/>
  <c r="O47" i="1"/>
  <c r="O33" i="1"/>
  <c r="O31" i="1"/>
  <c r="O29" i="1"/>
  <c r="O30" i="1"/>
  <c r="O27" i="1"/>
  <c r="O23" i="1"/>
  <c r="O20" i="1"/>
  <c r="M191" i="1"/>
  <c r="K178" i="1"/>
  <c r="G178" i="1"/>
  <c r="K170" i="1"/>
  <c r="K166" i="1"/>
  <c r="M164" i="1"/>
  <c r="K135" i="1"/>
  <c r="K130" i="1"/>
  <c r="K129" i="1"/>
  <c r="L125" i="1"/>
  <c r="K127" i="1"/>
  <c r="K120" i="1"/>
  <c r="K100" i="1"/>
  <c r="K98" i="1"/>
  <c r="V160" i="1"/>
  <c r="N160" i="1"/>
  <c r="L160" i="1"/>
  <c r="V149" i="1"/>
  <c r="N149" i="1"/>
  <c r="M149" i="1"/>
  <c r="L149" i="1"/>
  <c r="K149" i="1" s="1"/>
  <c r="V147" i="1"/>
  <c r="N147" i="1"/>
  <c r="M147" i="1"/>
  <c r="L147" i="1"/>
  <c r="V140" i="1"/>
  <c r="N140" i="1"/>
  <c r="M140" i="1"/>
  <c r="L140" i="1"/>
  <c r="K134" i="1"/>
  <c r="V132" i="1"/>
  <c r="N132" i="1"/>
  <c r="M132" i="1"/>
  <c r="L132" i="1"/>
  <c r="K132" i="1"/>
  <c r="V128" i="1"/>
  <c r="N128" i="1"/>
  <c r="L128" i="1"/>
  <c r="V125" i="1"/>
  <c r="N125" i="1"/>
  <c r="M125" i="1"/>
  <c r="M123" i="1"/>
  <c r="L123" i="1"/>
  <c r="N119" i="1"/>
  <c r="L119" i="1"/>
  <c r="N99" i="1"/>
  <c r="M99" i="1"/>
  <c r="L99" i="1"/>
  <c r="N97" i="1"/>
  <c r="M97" i="1"/>
  <c r="L97" i="1"/>
  <c r="K97" i="1" s="1"/>
  <c r="N88" i="1"/>
  <c r="K88" i="1" s="1"/>
  <c r="M88" i="1"/>
  <c r="L88" i="1"/>
  <c r="N86" i="1"/>
  <c r="M86" i="1"/>
  <c r="L86" i="1"/>
  <c r="K86" i="1" s="1"/>
  <c r="N80" i="1"/>
  <c r="M80" i="1"/>
  <c r="L80" i="1"/>
  <c r="V69" i="1"/>
  <c r="T69" i="1"/>
  <c r="T152" i="1"/>
  <c r="V61" i="1"/>
  <c r="V59" i="1"/>
  <c r="T59" i="1"/>
  <c r="V52" i="1"/>
  <c r="T52" i="1"/>
  <c r="R52" i="1"/>
  <c r="V48" i="1"/>
  <c r="V46" i="1"/>
  <c r="V43" i="1"/>
  <c r="N69" i="1"/>
  <c r="L67" i="1"/>
  <c r="L61" i="1"/>
  <c r="N48" i="1"/>
  <c r="M48" i="1"/>
  <c r="L48" i="1"/>
  <c r="N46" i="1"/>
  <c r="M46" i="1"/>
  <c r="L46" i="1"/>
  <c r="N43" i="1"/>
  <c r="M43" i="1"/>
  <c r="L43" i="1"/>
  <c r="K31" i="1"/>
  <c r="G31" i="1"/>
  <c r="K71" i="1"/>
  <c r="K69" i="1" s="1"/>
  <c r="M69" i="1"/>
  <c r="L69" i="1"/>
  <c r="M68" i="1"/>
  <c r="I68" i="1" s="1"/>
  <c r="K68" i="1"/>
  <c r="K34" i="1"/>
  <c r="M29" i="1"/>
  <c r="K30" i="1"/>
  <c r="K33" i="1"/>
  <c r="W33" i="1" s="1"/>
  <c r="H152" i="1"/>
  <c r="H158" i="1"/>
  <c r="I155" i="1"/>
  <c r="H155" i="1"/>
  <c r="O156" i="1"/>
  <c r="K156" i="1"/>
  <c r="G156" i="1"/>
  <c r="H142" i="1"/>
  <c r="H144" i="1"/>
  <c r="V144" i="1"/>
  <c r="U144" i="1"/>
  <c r="T144" i="1"/>
  <c r="R144" i="1"/>
  <c r="O144" i="1" s="1"/>
  <c r="Q144" i="1"/>
  <c r="P144" i="1"/>
  <c r="N144" i="1"/>
  <c r="M144" i="1"/>
  <c r="L144" i="1"/>
  <c r="K144" i="1"/>
  <c r="J144" i="1"/>
  <c r="I144" i="1"/>
  <c r="I128" i="1"/>
  <c r="J128" i="1"/>
  <c r="H128" i="1"/>
  <c r="G129" i="1"/>
  <c r="G130" i="1"/>
  <c r="I125" i="1"/>
  <c r="J125" i="1"/>
  <c r="H125" i="1"/>
  <c r="G127" i="1"/>
  <c r="H119" i="1"/>
  <c r="G117" i="1"/>
  <c r="G100" i="1"/>
  <c r="I99" i="1"/>
  <c r="J99" i="1"/>
  <c r="H99" i="1"/>
  <c r="I97" i="1"/>
  <c r="J97" i="1"/>
  <c r="H97" i="1"/>
  <c r="H88" i="1"/>
  <c r="G98" i="1"/>
  <c r="S96" i="1"/>
  <c r="O96" i="1"/>
  <c r="K96" i="1"/>
  <c r="G96" i="1"/>
  <c r="G90" i="1"/>
  <c r="G91" i="1"/>
  <c r="G78" i="1"/>
  <c r="G77" i="1" s="1"/>
  <c r="G76" i="1"/>
  <c r="G75" i="1" s="1"/>
  <c r="J77" i="1"/>
  <c r="I77" i="1"/>
  <c r="H77" i="1"/>
  <c r="J75" i="1"/>
  <c r="I75" i="1"/>
  <c r="H75" i="1"/>
  <c r="W76" i="1"/>
  <c r="G74" i="1"/>
  <c r="G73" i="1" s="1"/>
  <c r="H73" i="1"/>
  <c r="I73" i="1"/>
  <c r="J73" i="1"/>
  <c r="J69" i="1"/>
  <c r="I69" i="1"/>
  <c r="H69" i="1"/>
  <c r="G71" i="1"/>
  <c r="G69" i="1" s="1"/>
  <c r="G72" i="1"/>
  <c r="G70" i="1"/>
  <c r="G68" i="1"/>
  <c r="I67" i="1"/>
  <c r="J67" i="1"/>
  <c r="H67" i="1"/>
  <c r="G33" i="1"/>
  <c r="G34" i="1"/>
  <c r="G30" i="1"/>
  <c r="I119" i="1"/>
  <c r="K133" i="1"/>
  <c r="G165" i="1"/>
  <c r="G166" i="1"/>
  <c r="G167" i="1"/>
  <c r="G168" i="1"/>
  <c r="G169" i="1"/>
  <c r="U154" i="1"/>
  <c r="U152" i="1" s="1"/>
  <c r="S152" i="1" s="1"/>
  <c r="I88" i="1"/>
  <c r="J88" i="1"/>
  <c r="O91" i="1"/>
  <c r="K91" i="1"/>
  <c r="T89" i="1"/>
  <c r="S89" i="1" s="1"/>
  <c r="U61" i="1"/>
  <c r="U59" i="1"/>
  <c r="G60" i="1"/>
  <c r="S91" i="1"/>
  <c r="U52" i="1"/>
  <c r="W70" i="1"/>
  <c r="W72" i="1"/>
  <c r="W73" i="1"/>
  <c r="W74" i="1"/>
  <c r="W75" i="1"/>
  <c r="W78" i="1"/>
  <c r="G188" i="1"/>
  <c r="Q172" i="1"/>
  <c r="Q170" i="1" s="1"/>
  <c r="S138" i="1"/>
  <c r="K138" i="1"/>
  <c r="G138" i="1"/>
  <c r="O130" i="1"/>
  <c r="G126" i="1"/>
  <c r="K126" i="1"/>
  <c r="I123" i="1"/>
  <c r="I80" i="1"/>
  <c r="I43" i="1"/>
  <c r="O38" i="1"/>
  <c r="S38" i="1"/>
  <c r="G22" i="1"/>
  <c r="G23" i="1"/>
  <c r="G24" i="1"/>
  <c r="V158" i="1"/>
  <c r="T158" i="1"/>
  <c r="R158" i="1"/>
  <c r="P158" i="1"/>
  <c r="N158" i="1"/>
  <c r="M158" i="1"/>
  <c r="L158" i="1"/>
  <c r="J158" i="1"/>
  <c r="I158" i="1"/>
  <c r="J155" i="1"/>
  <c r="V152" i="1"/>
  <c r="V151" i="1" s="1"/>
  <c r="R152" i="1"/>
  <c r="P152" i="1"/>
  <c r="N152" i="1"/>
  <c r="M152" i="1"/>
  <c r="L152" i="1"/>
  <c r="L151" i="1" s="1"/>
  <c r="J152" i="1"/>
  <c r="I152" i="1"/>
  <c r="K159" i="1"/>
  <c r="G159" i="1"/>
  <c r="K157" i="1"/>
  <c r="G157" i="1"/>
  <c r="H140" i="1"/>
  <c r="V123" i="1"/>
  <c r="N123" i="1"/>
  <c r="K123" i="1" s="1"/>
  <c r="J123" i="1"/>
  <c r="O124" i="1"/>
  <c r="K124" i="1"/>
  <c r="J80" i="1"/>
  <c r="H80" i="1"/>
  <c r="S63" i="1"/>
  <c r="K63" i="1"/>
  <c r="G63" i="1"/>
  <c r="H46" i="1"/>
  <c r="J43" i="1"/>
  <c r="H43" i="1"/>
  <c r="S22" i="1"/>
  <c r="S24" i="1"/>
  <c r="O21" i="1"/>
  <c r="O22" i="1"/>
  <c r="K21" i="1"/>
  <c r="K22" i="1"/>
  <c r="K23" i="1"/>
  <c r="K24" i="1"/>
  <c r="G21" i="1"/>
  <c r="G38" i="1"/>
  <c r="G28" i="1"/>
  <c r="G121" i="1"/>
  <c r="Q121" i="1"/>
  <c r="O121" i="1" s="1"/>
  <c r="S121" i="1"/>
  <c r="W121" i="1" s="1"/>
  <c r="K121" i="1"/>
  <c r="K150" i="1"/>
  <c r="K148" i="1"/>
  <c r="O154" i="1"/>
  <c r="K154" i="1"/>
  <c r="G154" i="1"/>
  <c r="P39" i="1"/>
  <c r="K188" i="1"/>
  <c r="G50" i="1"/>
  <c r="G51" i="1"/>
  <c r="G11" i="1"/>
  <c r="K187" i="1"/>
  <c r="S93" i="1"/>
  <c r="O42" i="1"/>
  <c r="K42" i="1"/>
  <c r="G42" i="1"/>
  <c r="S166" i="1"/>
  <c r="O166" i="1"/>
  <c r="I149" i="1"/>
  <c r="S137" i="1"/>
  <c r="K111" i="1"/>
  <c r="K62" i="1"/>
  <c r="G62" i="1"/>
  <c r="H61" i="1"/>
  <c r="K54" i="1"/>
  <c r="Q54" i="1"/>
  <c r="O54" i="1" s="1"/>
  <c r="S54" i="1"/>
  <c r="N52" i="1"/>
  <c r="M52" i="1"/>
  <c r="L52" i="1"/>
  <c r="I52" i="1"/>
  <c r="J52" i="1"/>
  <c r="H52" i="1"/>
  <c r="G54" i="1"/>
  <c r="K27" i="1"/>
  <c r="G27" i="1"/>
  <c r="S60" i="1"/>
  <c r="K60" i="1"/>
  <c r="N59" i="1"/>
  <c r="M59" i="1"/>
  <c r="L59" i="1"/>
  <c r="K59" i="1" s="1"/>
  <c r="J59" i="1"/>
  <c r="I59" i="1"/>
  <c r="H59" i="1"/>
  <c r="S56" i="1"/>
  <c r="P137" i="1"/>
  <c r="P135" i="1" s="1"/>
  <c r="O36" i="1"/>
  <c r="S118" i="1"/>
  <c r="I140" i="1"/>
  <c r="J140" i="1"/>
  <c r="K141" i="1"/>
  <c r="G141" i="1"/>
  <c r="O141" i="1"/>
  <c r="K137" i="1"/>
  <c r="G137" i="1"/>
  <c r="S122" i="1"/>
  <c r="K122" i="1"/>
  <c r="J119" i="1"/>
  <c r="G122" i="1"/>
  <c r="K118" i="1"/>
  <c r="W118" i="1" s="1"/>
  <c r="G118" i="1"/>
  <c r="O112" i="1"/>
  <c r="S112" i="1"/>
  <c r="K112" i="1"/>
  <c r="G112" i="1"/>
  <c r="I48" i="1"/>
  <c r="J48" i="1"/>
  <c r="H48" i="1"/>
  <c r="S51" i="1"/>
  <c r="K51" i="1"/>
  <c r="O45" i="1"/>
  <c r="K45" i="1"/>
  <c r="G45" i="1"/>
  <c r="S39" i="1"/>
  <c r="S40" i="1"/>
  <c r="O41" i="1"/>
  <c r="G39" i="1"/>
  <c r="G40" i="1"/>
  <c r="K40" i="1"/>
  <c r="O40" i="1"/>
  <c r="K36" i="1"/>
  <c r="K41" i="1"/>
  <c r="G41" i="1"/>
  <c r="P26" i="1"/>
  <c r="P25" i="1"/>
  <c r="O25" i="1" s="1"/>
  <c r="P12" i="1"/>
  <c r="O12" i="1" s="1"/>
  <c r="P14" i="1"/>
  <c r="P15" i="1"/>
  <c r="O15" i="1" s="1"/>
  <c r="P16" i="1"/>
  <c r="O16" i="1" s="1"/>
  <c r="P11" i="1"/>
  <c r="O11" i="1" s="1"/>
  <c r="K26" i="1"/>
  <c r="G26" i="1"/>
  <c r="S17" i="1"/>
  <c r="K17" i="1"/>
  <c r="G17" i="1"/>
  <c r="S16" i="1"/>
  <c r="K14" i="1"/>
  <c r="K15" i="1"/>
  <c r="K16" i="1"/>
  <c r="G14" i="1"/>
  <c r="G15" i="1"/>
  <c r="G16" i="1"/>
  <c r="K12" i="1"/>
  <c r="O122" i="1"/>
  <c r="O56" i="1"/>
  <c r="Q152" i="1"/>
  <c r="S179" i="1"/>
  <c r="K179" i="1"/>
  <c r="G179" i="1"/>
  <c r="O93" i="1"/>
  <c r="K93" i="1"/>
  <c r="G93" i="1"/>
  <c r="S64" i="1"/>
  <c r="K64" i="1"/>
  <c r="M61" i="1"/>
  <c r="N61" i="1"/>
  <c r="I61" i="1"/>
  <c r="J61" i="1"/>
  <c r="G64" i="1"/>
  <c r="G153" i="1"/>
  <c r="H160" i="1"/>
  <c r="S153" i="1"/>
  <c r="O153" i="1"/>
  <c r="K153" i="1"/>
  <c r="S53" i="1"/>
  <c r="G187" i="1"/>
  <c r="S172" i="1"/>
  <c r="S173" i="1"/>
  <c r="S174" i="1"/>
  <c r="O173" i="1"/>
  <c r="O174" i="1"/>
  <c r="O165" i="1"/>
  <c r="O143" i="1"/>
  <c r="O111" i="1"/>
  <c r="O113" i="1"/>
  <c r="S111" i="1"/>
  <c r="S113" i="1"/>
  <c r="P58" i="1"/>
  <c r="P55" i="1" s="1"/>
  <c r="O57" i="1"/>
  <c r="O49" i="1"/>
  <c r="K47" i="1"/>
  <c r="K53" i="1"/>
  <c r="K89" i="1"/>
  <c r="K191" i="1"/>
  <c r="K110" i="1"/>
  <c r="K113" i="1"/>
  <c r="K108" i="1"/>
  <c r="K175" i="1"/>
  <c r="K164" i="1"/>
  <c r="K165" i="1"/>
  <c r="K167" i="1"/>
  <c r="K168" i="1"/>
  <c r="K169" i="1"/>
  <c r="K172" i="1"/>
  <c r="K173" i="1"/>
  <c r="K174" i="1"/>
  <c r="S133" i="1"/>
  <c r="O133" i="1"/>
  <c r="K83" i="1"/>
  <c r="K84" i="1"/>
  <c r="K85" i="1"/>
  <c r="K81" i="1"/>
  <c r="K87" i="1"/>
  <c r="K50" i="1"/>
  <c r="K49" i="1"/>
  <c r="K44" i="1"/>
  <c r="O120" i="1"/>
  <c r="K28" i="1"/>
  <c r="S25" i="1"/>
  <c r="K20" i="1"/>
  <c r="K25" i="1"/>
  <c r="K19" i="1"/>
  <c r="K11" i="1"/>
  <c r="K190" i="1"/>
  <c r="K184" i="1"/>
  <c r="K183" i="1"/>
  <c r="K182" i="1"/>
  <c r="S164" i="1"/>
  <c r="S165" i="1"/>
  <c r="G190" i="1"/>
  <c r="G172" i="1"/>
  <c r="G173" i="1"/>
  <c r="G174" i="1"/>
  <c r="S143" i="1"/>
  <c r="K143" i="1"/>
  <c r="G143" i="1"/>
  <c r="R142" i="1"/>
  <c r="Q142" i="1"/>
  <c r="P142" i="1"/>
  <c r="N142" i="1"/>
  <c r="M142" i="1"/>
  <c r="L142" i="1"/>
  <c r="J142" i="1"/>
  <c r="I142" i="1"/>
  <c r="K139" i="1"/>
  <c r="S139" i="1"/>
  <c r="G139" i="1"/>
  <c r="G110" i="1"/>
  <c r="G111" i="1"/>
  <c r="G113" i="1"/>
  <c r="O89" i="1"/>
  <c r="G89" i="1"/>
  <c r="S57" i="1"/>
  <c r="K56" i="1"/>
  <c r="K58" i="1"/>
  <c r="K57" i="1"/>
  <c r="N55" i="1"/>
  <c r="M55" i="1"/>
  <c r="L55" i="1"/>
  <c r="J55" i="1"/>
  <c r="I55" i="1"/>
  <c r="H55" i="1"/>
  <c r="G58" i="1"/>
  <c r="G57" i="1"/>
  <c r="G56" i="1"/>
  <c r="G53" i="1"/>
  <c r="G44" i="1"/>
  <c r="G25" i="1"/>
  <c r="S108" i="1"/>
  <c r="S184" i="1"/>
  <c r="W184" i="1" s="1"/>
  <c r="S183" i="1"/>
  <c r="S182" i="1"/>
  <c r="O175" i="1"/>
  <c r="S170" i="1"/>
  <c r="S87" i="1"/>
  <c r="O87" i="1"/>
  <c r="S85" i="1"/>
  <c r="S84" i="1"/>
  <c r="S83" i="1"/>
  <c r="S81" i="1"/>
  <c r="S50" i="1"/>
  <c r="O50" i="1"/>
  <c r="S49" i="1"/>
  <c r="W49" i="1" s="1"/>
  <c r="S20" i="1"/>
  <c r="S19" i="1"/>
  <c r="O19" i="1"/>
  <c r="S11" i="1"/>
  <c r="J46" i="1"/>
  <c r="H149" i="1"/>
  <c r="J149" i="1"/>
  <c r="H147" i="1"/>
  <c r="G147" i="1" s="1"/>
  <c r="J147" i="1"/>
  <c r="J146" i="1" s="1"/>
  <c r="I147" i="1"/>
  <c r="H132" i="1"/>
  <c r="J132" i="1"/>
  <c r="I132" i="1"/>
  <c r="H86" i="1"/>
  <c r="J86" i="1"/>
  <c r="I86" i="1"/>
  <c r="I46" i="1"/>
  <c r="G20" i="1"/>
  <c r="G49" i="1"/>
  <c r="G87" i="1"/>
  <c r="G170" i="1"/>
  <c r="G133" i="1"/>
  <c r="G175" i="1"/>
  <c r="G184" i="1"/>
  <c r="G108" i="1"/>
  <c r="G85" i="1"/>
  <c r="G81" i="1"/>
  <c r="G150" i="1"/>
  <c r="G182" i="1"/>
  <c r="G183" i="1"/>
  <c r="G185" i="1"/>
  <c r="G148" i="1"/>
  <c r="G120" i="1"/>
  <c r="G83" i="1"/>
  <c r="G84" i="1"/>
  <c r="G19" i="1"/>
  <c r="K115" i="1"/>
  <c r="G115" i="1"/>
  <c r="O183" i="1"/>
  <c r="G82" i="1"/>
  <c r="O108" i="1"/>
  <c r="O85" i="1"/>
  <c r="O84" i="1"/>
  <c r="O53" i="1"/>
  <c r="O139" i="1"/>
  <c r="G142" i="1"/>
  <c r="G47" i="1"/>
  <c r="K82" i="1"/>
  <c r="S82" i="1"/>
  <c r="W82" i="1" s="1"/>
  <c r="O164" i="1"/>
  <c r="S142" i="1"/>
  <c r="S115" i="1"/>
  <c r="W115" i="1" s="1"/>
  <c r="O82" i="1"/>
  <c r="O115" i="1"/>
  <c r="S110" i="1"/>
  <c r="W110" i="1" s="1"/>
  <c r="O152" i="1"/>
  <c r="O110" i="1"/>
  <c r="H123" i="1"/>
  <c r="G124" i="1"/>
  <c r="G36" i="1"/>
  <c r="S62" i="1"/>
  <c r="W62" i="1" s="1"/>
  <c r="S12" i="1"/>
  <c r="O28" i="1"/>
  <c r="S28" i="1"/>
  <c r="S58" i="1"/>
  <c r="O157" i="1"/>
  <c r="U157" i="1"/>
  <c r="O159" i="1"/>
  <c r="S159" i="1"/>
  <c r="Q158" i="1"/>
  <c r="Q151" i="1" s="1"/>
  <c r="O169" i="1"/>
  <c r="S169" i="1"/>
  <c r="O167" i="1"/>
  <c r="S167" i="1"/>
  <c r="O168" i="1"/>
  <c r="S168" i="1"/>
  <c r="O190" i="1"/>
  <c r="O191" i="1"/>
  <c r="S191" i="1"/>
  <c r="W191" i="1" s="1"/>
  <c r="S156" i="1"/>
  <c r="W156" i="1" s="1"/>
  <c r="O100" i="1"/>
  <c r="M128" i="1"/>
  <c r="P67" i="1"/>
  <c r="U119" i="1"/>
  <c r="S68" i="1"/>
  <c r="O51" i="1"/>
  <c r="O150" i="1"/>
  <c r="S124" i="1"/>
  <c r="L131" i="1"/>
  <c r="M67" i="1"/>
  <c r="G134" i="1"/>
  <c r="S126" i="1"/>
  <c r="W126" i="1" s="1"/>
  <c r="S44" i="1"/>
  <c r="W137" i="1" l="1"/>
  <c r="P134" i="1"/>
  <c r="O135" i="1"/>
  <c r="K29" i="1"/>
  <c r="W29" i="1" s="1"/>
  <c r="I29" i="1"/>
  <c r="M18" i="1"/>
  <c r="K18" i="1" s="1"/>
  <c r="M162" i="1"/>
  <c r="I164" i="1"/>
  <c r="R131" i="1"/>
  <c r="O170" i="1"/>
  <c r="Q161" i="1"/>
  <c r="G144" i="1"/>
  <c r="K43" i="1"/>
  <c r="K80" i="1"/>
  <c r="K140" i="1"/>
  <c r="O125" i="1"/>
  <c r="O64" i="1"/>
  <c r="W143" i="1"/>
  <c r="K152" i="1"/>
  <c r="G125" i="1"/>
  <c r="I151" i="1"/>
  <c r="S125" i="1"/>
  <c r="W125" i="1" s="1"/>
  <c r="S123" i="1"/>
  <c r="W123" i="1" s="1"/>
  <c r="O172" i="1"/>
  <c r="W153" i="1"/>
  <c r="G158" i="1"/>
  <c r="L146" i="1"/>
  <c r="K125" i="1"/>
  <c r="O137" i="1"/>
  <c r="K142" i="1"/>
  <c r="W142" i="1" s="1"/>
  <c r="G140" i="1"/>
  <c r="W166" i="1"/>
  <c r="M146" i="1"/>
  <c r="I191" i="1"/>
  <c r="M181" i="1"/>
  <c r="W190" i="1"/>
  <c r="W152" i="1"/>
  <c r="W183" i="1"/>
  <c r="O142" i="1"/>
  <c r="W122" i="1"/>
  <c r="N151" i="1"/>
  <c r="G128" i="1"/>
  <c r="T151" i="1"/>
  <c r="V131" i="1"/>
  <c r="N146" i="1"/>
  <c r="K146" i="1" s="1"/>
  <c r="S55" i="1"/>
  <c r="S154" i="1"/>
  <c r="W154" i="1" s="1"/>
  <c r="W133" i="1"/>
  <c r="O39" i="1"/>
  <c r="P35" i="1"/>
  <c r="O35" i="1" s="1"/>
  <c r="G67" i="1"/>
  <c r="K48" i="1"/>
  <c r="V146" i="1"/>
  <c r="O123" i="1"/>
  <c r="T131" i="1"/>
  <c r="J160" i="1"/>
  <c r="W188" i="1"/>
  <c r="W179" i="1"/>
  <c r="W30" i="1"/>
  <c r="W167" i="1"/>
  <c r="W170" i="1"/>
  <c r="W173" i="1"/>
  <c r="W164" i="1"/>
  <c r="W172" i="1"/>
  <c r="W169" i="1"/>
  <c r="W168" i="1"/>
  <c r="W111" i="1"/>
  <c r="W175" i="1"/>
  <c r="W108" i="1"/>
  <c r="H151" i="1"/>
  <c r="O155" i="1"/>
  <c r="G155" i="1"/>
  <c r="R151" i="1"/>
  <c r="P146" i="1"/>
  <c r="O146" i="1" s="1"/>
  <c r="R146" i="1"/>
  <c r="O149" i="1"/>
  <c r="I146" i="1"/>
  <c r="K147" i="1"/>
  <c r="O140" i="1"/>
  <c r="W138" i="1"/>
  <c r="W134" i="1"/>
  <c r="K128" i="1"/>
  <c r="L106" i="1"/>
  <c r="N106" i="1"/>
  <c r="S128" i="1"/>
  <c r="W128" i="1" s="1"/>
  <c r="G123" i="1"/>
  <c r="S119" i="1"/>
  <c r="T106" i="1"/>
  <c r="G119" i="1"/>
  <c r="G114" i="1"/>
  <c r="K114" i="1"/>
  <c r="W64" i="1"/>
  <c r="G107" i="1"/>
  <c r="W85" i="1"/>
  <c r="G61" i="1"/>
  <c r="O55" i="1"/>
  <c r="K52" i="1"/>
  <c r="S52" i="1"/>
  <c r="W52" i="1" s="1"/>
  <c r="G46" i="1"/>
  <c r="W41" i="1"/>
  <c r="W34" i="1"/>
  <c r="W31" i="1"/>
  <c r="O24" i="1"/>
  <c r="P18" i="1"/>
  <c r="O18" i="1" s="1"/>
  <c r="P10" i="1"/>
  <c r="W11" i="1"/>
  <c r="W65" i="1"/>
  <c r="G55" i="1"/>
  <c r="W84" i="1"/>
  <c r="G48" i="1"/>
  <c r="Q52" i="1"/>
  <c r="O52" i="1" s="1"/>
  <c r="W50" i="1"/>
  <c r="K10" i="1"/>
  <c r="Q61" i="1"/>
  <c r="W45" i="1"/>
  <c r="W96" i="1"/>
  <c r="G97" i="1"/>
  <c r="O86" i="1"/>
  <c r="W15" i="1"/>
  <c r="S43" i="1"/>
  <c r="W43" i="1" s="1"/>
  <c r="S59" i="1"/>
  <c r="W59" i="1" s="1"/>
  <c r="G86" i="1"/>
  <c r="W53" i="1"/>
  <c r="W51" i="1"/>
  <c r="G59" i="1"/>
  <c r="G99" i="1"/>
  <c r="O59" i="1"/>
  <c r="W26" i="1"/>
  <c r="O17" i="1"/>
  <c r="H79" i="1"/>
  <c r="O88" i="1"/>
  <c r="T88" i="1"/>
  <c r="T79" i="1" s="1"/>
  <c r="J79" i="1"/>
  <c r="W87" i="1"/>
  <c r="R79" i="1"/>
  <c r="S80" i="1"/>
  <c r="S48" i="1"/>
  <c r="W48" i="1" s="1"/>
  <c r="W25" i="1"/>
  <c r="G43" i="1"/>
  <c r="G88" i="1"/>
  <c r="N79" i="1"/>
  <c r="S67" i="1"/>
  <c r="O58" i="1"/>
  <c r="W16" i="1"/>
  <c r="V79" i="1"/>
  <c r="V75" i="1" s="1"/>
  <c r="V9" i="1" s="1"/>
  <c r="W28" i="1"/>
  <c r="W66" i="1"/>
  <c r="W95" i="1"/>
  <c r="K61" i="1"/>
  <c r="W81" i="1"/>
  <c r="W93" i="1"/>
  <c r="K67" i="1"/>
  <c r="K99" i="1"/>
  <c r="W99" i="1" s="1"/>
  <c r="O44" i="1"/>
  <c r="W91" i="1"/>
  <c r="W83" i="1"/>
  <c r="S61" i="1"/>
  <c r="W130" i="1"/>
  <c r="W60" i="1"/>
  <c r="K55" i="1"/>
  <c r="W38" i="1"/>
  <c r="M79" i="1"/>
  <c r="W182" i="1"/>
  <c r="S148" i="1"/>
  <c r="W148" i="1" s="1"/>
  <c r="W17" i="1"/>
  <c r="W40" i="1"/>
  <c r="W56" i="1"/>
  <c r="W27" i="1"/>
  <c r="W42" i="1"/>
  <c r="W39" i="1"/>
  <c r="W63" i="1"/>
  <c r="W19" i="1"/>
  <c r="W12" i="1"/>
  <c r="W24" i="1"/>
  <c r="T146" i="1"/>
  <c r="W58" i="1"/>
  <c r="W20" i="1"/>
  <c r="W23" i="1"/>
  <c r="O62" i="1"/>
  <c r="S161" i="1"/>
  <c r="W165" i="1"/>
  <c r="W112" i="1"/>
  <c r="H106" i="1"/>
  <c r="J106" i="1"/>
  <c r="U106" i="1"/>
  <c r="S97" i="1"/>
  <c r="W97" i="1" s="1"/>
  <c r="O97" i="1"/>
  <c r="O67" i="1"/>
  <c r="W44" i="1"/>
  <c r="S18" i="1"/>
  <c r="O148" i="1"/>
  <c r="K155" i="1"/>
  <c r="M151" i="1"/>
  <c r="K151" i="1" s="1"/>
  <c r="W57" i="1"/>
  <c r="W113" i="1"/>
  <c r="O26" i="1"/>
  <c r="G52" i="1"/>
  <c r="K158" i="1"/>
  <c r="L79" i="1"/>
  <c r="K46" i="1"/>
  <c r="O162" i="1"/>
  <c r="U88" i="1"/>
  <c r="U79" i="1" s="1"/>
  <c r="O48" i="1"/>
  <c r="P69" i="1"/>
  <c r="O71" i="1"/>
  <c r="S47" i="1"/>
  <c r="U46" i="1"/>
  <c r="U140" i="1"/>
  <c r="U131" i="1" s="1"/>
  <c r="S131" i="1" s="1"/>
  <c r="S141" i="1"/>
  <c r="W159" i="1"/>
  <c r="O60" i="1"/>
  <c r="S21" i="1"/>
  <c r="S144" i="1"/>
  <c r="W144" i="1" s="1"/>
  <c r="K92" i="1"/>
  <c r="Q46" i="1"/>
  <c r="O46" i="1" s="1"/>
  <c r="O127" i="1"/>
  <c r="V106" i="1"/>
  <c r="R9" i="1"/>
  <c r="Q43" i="1"/>
  <c r="O43" i="1" s="1"/>
  <c r="O80" i="1"/>
  <c r="P79" i="1"/>
  <c r="G149" i="1"/>
  <c r="H146" i="1"/>
  <c r="G146" i="1" s="1"/>
  <c r="O14" i="1"/>
  <c r="I131" i="1"/>
  <c r="J151" i="1"/>
  <c r="G151" i="1" s="1"/>
  <c r="G152" i="1"/>
  <c r="P151" i="1"/>
  <c r="O158" i="1"/>
  <c r="N9" i="1"/>
  <c r="I106" i="1"/>
  <c r="N131" i="1"/>
  <c r="S114" i="1"/>
  <c r="O34" i="1"/>
  <c r="J9" i="1"/>
  <c r="L9" i="1"/>
  <c r="W174" i="1"/>
  <c r="K181" i="1"/>
  <c r="K185" i="1"/>
  <c r="W185" i="1" s="1"/>
  <c r="W36" i="1"/>
  <c r="O147" i="1"/>
  <c r="U155" i="1"/>
  <c r="S157" i="1"/>
  <c r="J131" i="1"/>
  <c r="W139" i="1"/>
  <c r="S132" i="1"/>
  <c r="W132" i="1" s="1"/>
  <c r="O99" i="1"/>
  <c r="O114" i="1"/>
  <c r="W120" i="1"/>
  <c r="S187" i="1"/>
  <c r="W187" i="1" s="1"/>
  <c r="U160" i="1"/>
  <c r="W22" i="1"/>
  <c r="O161" i="1"/>
  <c r="H131" i="1"/>
  <c r="G132" i="1"/>
  <c r="W54" i="1"/>
  <c r="K107" i="1"/>
  <c r="M131" i="1"/>
  <c r="K131" i="1" s="1"/>
  <c r="P106" i="1"/>
  <c r="Q119" i="1"/>
  <c r="O119" i="1" s="1"/>
  <c r="O132" i="1"/>
  <c r="R106" i="1"/>
  <c r="S14" i="1"/>
  <c r="W14" i="1" s="1"/>
  <c r="S71" i="1"/>
  <c r="W89" i="1"/>
  <c r="W124" i="1"/>
  <c r="G80" i="1"/>
  <c r="I79" i="1"/>
  <c r="M119" i="1"/>
  <c r="K119" i="1" s="1"/>
  <c r="Q79" i="1"/>
  <c r="O134" i="1"/>
  <c r="P131" i="1"/>
  <c r="W86" i="1"/>
  <c r="S147" i="1"/>
  <c r="W147" i="1" s="1"/>
  <c r="T9" i="1"/>
  <c r="P61" i="1"/>
  <c r="W68" i="1"/>
  <c r="U158" i="1"/>
  <c r="S158" i="1" s="1"/>
  <c r="I162" i="1" l="1"/>
  <c r="G164" i="1"/>
  <c r="I18" i="1"/>
  <c r="G29" i="1"/>
  <c r="M9" i="1"/>
  <c r="K9" i="1" s="1"/>
  <c r="W80" i="1"/>
  <c r="M161" i="1"/>
  <c r="M160" i="1" s="1"/>
  <c r="K160" i="1" s="1"/>
  <c r="K162" i="1"/>
  <c r="W162" i="1" s="1"/>
  <c r="W114" i="1"/>
  <c r="W55" i="1"/>
  <c r="I181" i="1"/>
  <c r="G181" i="1" s="1"/>
  <c r="G191" i="1"/>
  <c r="O61" i="1"/>
  <c r="S140" i="1"/>
  <c r="W140" i="1" s="1"/>
  <c r="W157" i="1"/>
  <c r="W67" i="1"/>
  <c r="W119" i="1"/>
  <c r="O181" i="1"/>
  <c r="O160" i="1" s="1"/>
  <c r="Q160" i="1"/>
  <c r="W158" i="1"/>
  <c r="O151" i="1"/>
  <c r="W131" i="1"/>
  <c r="G106" i="1"/>
  <c r="G79" i="1"/>
  <c r="K79" i="1"/>
  <c r="V8" i="1"/>
  <c r="W61" i="1"/>
  <c r="N8" i="1"/>
  <c r="W35" i="1"/>
  <c r="W92" i="1"/>
  <c r="W18" i="1"/>
  <c r="S107" i="1"/>
  <c r="W107" i="1" s="1"/>
  <c r="S79" i="1"/>
  <c r="S181" i="1"/>
  <c r="W181" i="1" s="1"/>
  <c r="Q9" i="1"/>
  <c r="U151" i="1"/>
  <c r="S151" i="1" s="1"/>
  <c r="W151" i="1" s="1"/>
  <c r="S155" i="1"/>
  <c r="S106" i="1"/>
  <c r="W47" i="1"/>
  <c r="S46" i="1"/>
  <c r="W46" i="1" s="1"/>
  <c r="T8" i="1"/>
  <c r="M106" i="1"/>
  <c r="K106" i="1" s="1"/>
  <c r="U9" i="1"/>
  <c r="S9" i="1" s="1"/>
  <c r="S10" i="1"/>
  <c r="W10" i="1" s="1"/>
  <c r="O69" i="1"/>
  <c r="H9" i="1"/>
  <c r="L8" i="1"/>
  <c r="W71" i="1"/>
  <c r="S69" i="1"/>
  <c r="W69" i="1" s="1"/>
  <c r="S88" i="1"/>
  <c r="G131" i="1"/>
  <c r="O79" i="1"/>
  <c r="Q131" i="1"/>
  <c r="O131" i="1" s="1"/>
  <c r="W141" i="1"/>
  <c r="W21" i="1"/>
  <c r="Q106" i="1"/>
  <c r="O106" i="1" s="1"/>
  <c r="J8" i="1"/>
  <c r="O10" i="1"/>
  <c r="P9" i="1"/>
  <c r="R8" i="1"/>
  <c r="G18" i="1" l="1"/>
  <c r="I9" i="1"/>
  <c r="K161" i="1"/>
  <c r="W161" i="1" s="1"/>
  <c r="I161" i="1"/>
  <c r="G162" i="1"/>
  <c r="W155" i="1"/>
  <c r="S160" i="1"/>
  <c r="W79" i="1"/>
  <c r="W106" i="1"/>
  <c r="W9" i="1"/>
  <c r="P8" i="1"/>
  <c r="O9" i="1"/>
  <c r="H8" i="1"/>
  <c r="G9" i="1"/>
  <c r="Q8" i="1"/>
  <c r="W88" i="1"/>
  <c r="M8" i="1"/>
  <c r="I160" i="1" l="1"/>
  <c r="G160" i="1" s="1"/>
  <c r="G161" i="1"/>
  <c r="I8" i="1"/>
  <c r="W160" i="1"/>
  <c r="O8" i="1"/>
  <c r="G8" i="1"/>
  <c r="K8" i="1"/>
  <c r="S150" i="1" l="1"/>
  <c r="U149" i="1"/>
  <c r="U146" i="1" s="1"/>
  <c r="U8" i="1" l="1"/>
  <c r="S8" i="1" s="1"/>
  <c r="S146" i="1"/>
  <c r="S149" i="1"/>
  <c r="W150" i="1"/>
  <c r="W149" i="1" l="1"/>
  <c r="W146" i="1"/>
  <c r="W8" i="1" l="1"/>
</calcChain>
</file>

<file path=xl/sharedStrings.xml><?xml version="1.0" encoding="utf-8"?>
<sst xmlns="http://schemas.openxmlformats.org/spreadsheetml/2006/main" count="477" uniqueCount="296">
  <si>
    <t>Наименование направления, раздела, мероприятия, ведомственной целевой программы</t>
  </si>
  <si>
    <t>№ п/п</t>
  </si>
  <si>
    <t>окружного бюджета</t>
  </si>
  <si>
    <t>прочих внебюджетных источников</t>
  </si>
  <si>
    <t>всего</t>
  </si>
  <si>
    <t>в том числе</t>
  </si>
  <si>
    <t>Всего по Программе</t>
  </si>
  <si>
    <t>2</t>
  </si>
  <si>
    <t>3</t>
  </si>
  <si>
    <t>Основное мероприятие: "Реализация основных и дополнительных образовательных программ"</t>
  </si>
  <si>
    <t>федераль-ного бюджета</t>
  </si>
  <si>
    <t>4</t>
  </si>
  <si>
    <t>5</t>
  </si>
  <si>
    <t>Основное мероприятие: "Оказание поддержки отдельным категориям детей и молодежи"</t>
  </si>
  <si>
    <t>6</t>
  </si>
  <si>
    <t>7</t>
  </si>
  <si>
    <t>1</t>
  </si>
  <si>
    <t>Основное мероприятие: "Социальная поддержка специалистов"</t>
  </si>
  <si>
    <t>мероприятие: "Назначение и выплата стипендии Губернатора студентам образовательных организаций высшего образования, имеющих высокий уровень качества знаний"</t>
  </si>
  <si>
    <t>Основное мероприятие: "Социальная поддержка обучающихся в учреждениях профессионального образования"</t>
  </si>
  <si>
    <t>Основное мероприятие: "Организация и проведение окружных мероприятий, направленных на развитие детского и молодежного творчества"</t>
  </si>
  <si>
    <t>Основное мероприятие: "Проведение мероприятий, направленных на формирование гражданских, патриотических и творческих качеств детей и молодежи Чукотки"</t>
  </si>
  <si>
    <t>Основное мероприятие: "Государственная поддержка молодёжных общественных объединений и талантливой молодёжи"</t>
  </si>
  <si>
    <t>Основное мероприятие: "Обеспечение функционирования государственных органов"</t>
  </si>
  <si>
    <t>Основное мероприятие: «Оказание государственной поддержки молодым семьям»</t>
  </si>
  <si>
    <t>Основное мероприятие: «Предоставление дополнительных социальных выплат»</t>
  </si>
  <si>
    <t>1.1</t>
  </si>
  <si>
    <t>1.2</t>
  </si>
  <si>
    <t>7.1</t>
  </si>
  <si>
    <t>2.1</t>
  </si>
  <si>
    <t>3.1</t>
  </si>
  <si>
    <t>4.1</t>
  </si>
  <si>
    <t>1.3</t>
  </si>
  <si>
    <t>2.2</t>
  </si>
  <si>
    <t>2.3</t>
  </si>
  <si>
    <t>2.4</t>
  </si>
  <si>
    <t>2.5</t>
  </si>
  <si>
    <t>2.6</t>
  </si>
  <si>
    <t>2.7</t>
  </si>
  <si>
    <t>2.8</t>
  </si>
  <si>
    <t>2.10</t>
  </si>
  <si>
    <t>5.1</t>
  </si>
  <si>
    <t>6.1</t>
  </si>
  <si>
    <t>6.2</t>
  </si>
  <si>
    <t>Всего</t>
  </si>
  <si>
    <t>ФБ</t>
  </si>
  <si>
    <t>ОБ</t>
  </si>
  <si>
    <t>Информация о ходе реализации Государственной программы</t>
  </si>
  <si>
    <t>% исполнения</t>
  </si>
  <si>
    <t>Целевая статья</t>
  </si>
  <si>
    <t>Вид расходов</t>
  </si>
  <si>
    <t>федерального бюджета</t>
  </si>
  <si>
    <t>530</t>
  </si>
  <si>
    <t>522</t>
  </si>
  <si>
    <t>622</t>
  </si>
  <si>
    <t>521</t>
  </si>
  <si>
    <t>244</t>
  </si>
  <si>
    <t>4.2</t>
  </si>
  <si>
    <t xml:space="preserve">Основное мероприятие: "Организация отдыха и оздоровления детей"
</t>
  </si>
  <si>
    <t>8</t>
  </si>
  <si>
    <t>8.1</t>
  </si>
  <si>
    <t>8.2</t>
  </si>
  <si>
    <t>8.3</t>
  </si>
  <si>
    <t>623</t>
  </si>
  <si>
    <t>340</t>
  </si>
  <si>
    <t>321</t>
  </si>
  <si>
    <t>613</t>
  </si>
  <si>
    <t>350</t>
  </si>
  <si>
    <t>122</t>
  </si>
  <si>
    <t>121</t>
  </si>
  <si>
    <t>129</t>
  </si>
  <si>
    <t>851</t>
  </si>
  <si>
    <t>852</t>
  </si>
  <si>
    <t>621</t>
  </si>
  <si>
    <t>313</t>
  </si>
  <si>
    <t>853</t>
  </si>
  <si>
    <t>330</t>
  </si>
  <si>
    <t>Основное мероприятие: "Обеспечение функционирования государственных учреждений"</t>
  </si>
  <si>
    <t>мероприятие: "Субвенции на компенсацию части платы, взимаемую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деятельность"</t>
  </si>
  <si>
    <t>мероприятие: "Субсидии на выполнение ремонтных работ в муниципальных образовательных организациях"</t>
  </si>
  <si>
    <t>мероприятие: "Проведение ремонтных и (или) строительных работ в государственных образовательных организациях"</t>
  </si>
  <si>
    <t>3.2</t>
  </si>
  <si>
    <t>мероприятие: "Создание условий для обучения и воспитания детей, находящихся в трудной жизненной ситуации, детей, имеющих ограниченные возможности здоровья, несовершеннолетних, направляемых по решению суда, и лиц, их сопровождающих"</t>
  </si>
  <si>
    <t>6.3</t>
  </si>
  <si>
    <t>мероприятие: "Оплата питания студентов очной формы обучения учреждений высшего профессионального образования, расположенных на территории Чукотского автономного округа"</t>
  </si>
  <si>
    <t>мероприятие: "Поддержка несовершеннолетних, находящихся в трудной жизненной ситуации, во время переезда из постоянного места жительства к месту обучения и обратно"</t>
  </si>
  <si>
    <t>мероприятие: "Субсидии на реализацию мероприятий по проведению оздоровительной кампании детей, находящихся в трудной жизненной ситуации"</t>
  </si>
  <si>
    <t>Основное мероприятие: "Обеспечение участия во всероссийских конкурсах, слетах, форумах, фестивалях специалистов, детей и молодёжи Чукотки"</t>
  </si>
  <si>
    <t>мероприятие: "Организация, проведение, участие в окружных и всероссийских молодежных массовых мероприятиях, конкурсах, слетах"</t>
  </si>
  <si>
    <t>02 4 03 63340</t>
  </si>
  <si>
    <t>мероприятие: "Организация деятельности Регионального Координационного Центра движения WorldSkills Russia в Чукотском автономном округе"</t>
  </si>
  <si>
    <t>414</t>
  </si>
  <si>
    <t>Основное мероприятие: "Оказание поддержки студентам и специалистам государственных учреждений округа"</t>
  </si>
  <si>
    <t>9</t>
  </si>
  <si>
    <t>9.1</t>
  </si>
  <si>
    <t>2.9</t>
  </si>
  <si>
    <t>мероприятие: "Реализация мер по профессиональному обучению младшего медицинского персонала"</t>
  </si>
  <si>
    <t>мероприятие: "Организация и проведение практики студентов и аспирантов на территории Чукотского автономного округа"</t>
  </si>
  <si>
    <t>мероприятие: "Комплекс мер по обеспечению безопасности образовательных учреждений "</t>
  </si>
  <si>
    <t>02 И 01 90340</t>
  </si>
  <si>
    <t>мероприятие: "Субсидии на реализацию мероприятий по обеспечению жильем молодых семей"</t>
  </si>
  <si>
    <t>Подпрограмма 1 "Обеспечение государственных гарантий и развитие современной инфраструктуры образования"</t>
  </si>
  <si>
    <t>Основное мероприятие: "Развитие системы дошкольного, общего и профессионального образования"</t>
  </si>
  <si>
    <t>мероприятие: "Проведение ремонтных и (или) строительных работ в профессиональных образовательных организациях"</t>
  </si>
  <si>
    <t>мероприятие: "Субсидии на реализацию мероприятий по профессиональной ориентации лиц, обучающихся в общеобразовательных организациях Чукотского автономного округа"</t>
  </si>
  <si>
    <t>мероприятие: "Субсидии на поддержку кадетского движения в Чукотском автономном округе"</t>
  </si>
  <si>
    <t>мероприятие: "Организация, проведение, участие в конкурсах профессионального мастерства"</t>
  </si>
  <si>
    <t>мероприятие: "Субсидии на мероприятия государственной программы Российской Федерации "Доступная среда"</t>
  </si>
  <si>
    <t>Основное мероприятие: "Материальное обеспечение отрасли образования"</t>
  </si>
  <si>
    <t>мероприятие: "Приобретение материальных ресурсов, обеспечивающих развитие инфраструктуры образования, в том числе учебников для общеобразовательных организаций"</t>
  </si>
  <si>
    <t>мероприятие: "Субсидии на приобретение оборудования и товарно-материальных ценностей для нужд муниципальных образовательных организаций"</t>
  </si>
  <si>
    <t>Основное мероприятие: "Формирование информационных ресурсов отрасли образования"</t>
  </si>
  <si>
    <t>мероприятие: "Разработка, внедрение и сопровождение информационных ресурсов, обеспечивающих функционирование отрасли образования"</t>
  </si>
  <si>
    <t>Основное мероприятие: "Социальные гарантии работникам отрасли образования по оплате жилья и коммунальных услуг"</t>
  </si>
  <si>
    <t>мероприятие: "Проведение независимой оценки качества услуг в образовании"</t>
  </si>
  <si>
    <t>Основное мероприятие: "Независимая оценка качества услуг в образовании"</t>
  </si>
  <si>
    <t>мероприятие: "Гранты некоммерческим организациям на организацию участия детей Чукотского автономного округа в новогодней Кремлевской елке"</t>
  </si>
  <si>
    <t>мероприятие: "Гранты некоммерческим организациям на организацию и проведение оздоровительной кампании"</t>
  </si>
  <si>
    <t>10</t>
  </si>
  <si>
    <t>Основное мероприятие: "Региональный проект "Успех каждого ребенка" федерального проекта "Успех каждого ребенка""</t>
  </si>
  <si>
    <t>10.1</t>
  </si>
  <si>
    <t>10.2</t>
  </si>
  <si>
    <t>10.3</t>
  </si>
  <si>
    <t>мероприятие: "Субсидии на создание мобильных технопарков "Кванториум"</t>
  </si>
  <si>
    <t>мероприятие: "Создание регионального центра выявления и поддержки одаренных детей"</t>
  </si>
  <si>
    <t>11</t>
  </si>
  <si>
    <t>Основное мероприятие: "Региональный проект "Содействие занятости женщин - создание условий дошкольного образования для детей в возрасте до трех лет" федерального проекта "Содействие занятости женщин - создание условий дошкольного образования для детей в возрасте до трех лет"</t>
  </si>
  <si>
    <t>11.1</t>
  </si>
  <si>
    <t>12</t>
  </si>
  <si>
    <t>Основное мероприятие: "Региональный проект "Современная школа" федерального проекта "Современная школа"</t>
  </si>
  <si>
    <t>13</t>
  </si>
  <si>
    <t>Основное мероприятие: "Региональный проект "Цифровая образовательная среда" федерального проекта "Цифровая образовательная среда"</t>
  </si>
  <si>
    <t>12.1</t>
  </si>
  <si>
    <t>13.1</t>
  </si>
  <si>
    <t>14</t>
  </si>
  <si>
    <t>Основное мероприятие: "Региональный проект "Молодые профессионалы (повышение конкурентоспособности профессионального образования)" федерального проекта "Молодые профессионалы (повышение конкурентоспособности профессионального образования)"</t>
  </si>
  <si>
    <t>14.1</t>
  </si>
  <si>
    <t>мероприятие: "Разработка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подготовки"</t>
  </si>
  <si>
    <t>15</t>
  </si>
  <si>
    <t>Основное мероприятие: "Региональный проект "Учитель будущего" федерального проекта "Учитель будущего""</t>
  </si>
  <si>
    <t>15.1</t>
  </si>
  <si>
    <t>мероприятие: "Создание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педагогов"</t>
  </si>
  <si>
    <t>мероприятие: "Субсидии на формирование жилищного фонда для специалистов Чукотского автономного округа"</t>
  </si>
  <si>
    <t>Подпрограмма 2: "Развитие кадрового потенциала"</t>
  </si>
  <si>
    <t>Подпрограмма 3: "Поддержка и развитие детского и молодежного образования и творчества"</t>
  </si>
  <si>
    <t>мероприятие: "Организация и проведение окружных мероприятий, направленных на развитие детского и молодежного творчества"</t>
  </si>
  <si>
    <t>мероприятие: "Обеспечение участия во всероссийских конкурсах, слетах, форумах, фестивалях специалистов, детей и молодежи Чукотки"</t>
  </si>
  <si>
    <t>Основное мероприятие: "Реализация мероприятий WorldSkills Russia (молодые профессионалы)"</t>
  </si>
  <si>
    <t>5.2</t>
  </si>
  <si>
    <t>мероприятие: "Субсидии на реализацию мероприятий по поддержке творчества обучающихся инженерной направленности"</t>
  </si>
  <si>
    <t>Основное мероприятие: "Поддержка робототехники и технического творчества инженерной направленности обучающихся"</t>
  </si>
  <si>
    <t>мероприятие: "Гранты некоммерческим организациям на проведение Окружного фестиваля робототехники"</t>
  </si>
  <si>
    <t>Подпрограмма 4: "Грантовая поддержка проектов в области образования"</t>
  </si>
  <si>
    <t>мероприятие: "Гранты молодежным общественным объединениям"</t>
  </si>
  <si>
    <t>Основное мероприятие: "Поощрение лучших учреждений образования и их работников"</t>
  </si>
  <si>
    <t>мкроприятие: "Грантовая поддержка лучших образовательных организаций и их работников"</t>
  </si>
  <si>
    <t>Основное мероприятие: "Реализация мероприятий по поддержке социально ориентированных некоммерческих организаций"</t>
  </si>
  <si>
    <t>мероприятие: "Организация, проведение, участие в мероприятиях по вопросам вовлечения СОНКО Чукотского автономного округа в оказании услуг в социальной сфере"</t>
  </si>
  <si>
    <t>Подпрограмма 5: "Содействие в обеспечении жильём молодых семей"</t>
  </si>
  <si>
    <t>Подпрограмма 6: "Развитие социальной инфраструктуры"</t>
  </si>
  <si>
    <t>мероприятие: "Строительство объекта "Школа в с. Островное""</t>
  </si>
  <si>
    <t>мероприятие: "Строительство объекта "Школа в г. Анадырь""</t>
  </si>
  <si>
    <t>Подпрограмма 7: "Обеспечение деятельности государственных органов и подведомственных учреждений"</t>
  </si>
  <si>
    <t>мероприятие: "Содержание центрального аппарата органов государственной власти (государственных органов)"</t>
  </si>
  <si>
    <t>мероприятие: "Расходы на обеспечение деятельности (оказание услуг) средних профессиональных учебных заведений"</t>
  </si>
  <si>
    <t>мероприятие: "Расходы на обеспечение деятельности (оказание услуг) институтов повышения квалификации"</t>
  </si>
  <si>
    <t>мероприятие: "Выплата единовременного пособия специалистам образовательных организаций"</t>
  </si>
  <si>
    <t>09 1 01 00280</t>
  </si>
  <si>
    <t>09 1 01 4307Д</t>
  </si>
  <si>
    <t>113</t>
  </si>
  <si>
    <t>09 1 02 4309Д</t>
  </si>
  <si>
    <t>09 1 02 4227Д</t>
  </si>
  <si>
    <t>09 1 02 63100</t>
  </si>
  <si>
    <t>09 1 02 6311Д</t>
  </si>
  <si>
    <t>09 1 02 6312Д</t>
  </si>
  <si>
    <t>09 1 02 63320</t>
  </si>
  <si>
    <t>09 1 02 42410</t>
  </si>
  <si>
    <t>09 1 02 60750</t>
  </si>
  <si>
    <t>09 1 02 R027Д</t>
  </si>
  <si>
    <t>09 1 03 6313Д</t>
  </si>
  <si>
    <t>09 1 05 43050</t>
  </si>
  <si>
    <t>09 1 06 6316Д</t>
  </si>
  <si>
    <t>09 1 06 6317Д</t>
  </si>
  <si>
    <t>09 1 06 6318Д</t>
  </si>
  <si>
    <t>09 1 07 63190</t>
  </si>
  <si>
    <t>09 1 08 4215Д</t>
  </si>
  <si>
    <t>09 1 08 6320Д</t>
  </si>
  <si>
    <t>09 1 08 6361Д</t>
  </si>
  <si>
    <t>09 1 09 72230</t>
  </si>
  <si>
    <t>09 1 Е2 5097Д</t>
  </si>
  <si>
    <t>09 2 01 6326Д</t>
  </si>
  <si>
    <t>09 2 01 63270</t>
  </si>
  <si>
    <t>09 2 02 1021Д</t>
  </si>
  <si>
    <t>09 2 03 42230</t>
  </si>
  <si>
    <t>09 2 04 63300</t>
  </si>
  <si>
    <t>09 3 01 6333Д</t>
  </si>
  <si>
    <t>09 3 02 6332Д</t>
  </si>
  <si>
    <t>09 3 03 63340</t>
  </si>
  <si>
    <t>09 3 04 63350</t>
  </si>
  <si>
    <t>09 3 05 42440</t>
  </si>
  <si>
    <t>09 3 05 72430</t>
  </si>
  <si>
    <t>09 4 01 6336Д</t>
  </si>
  <si>
    <t>09 4 02 63370</t>
  </si>
  <si>
    <t>09 4 03 72410</t>
  </si>
  <si>
    <t>09 5 01 R4970</t>
  </si>
  <si>
    <t>09 5 02 71720</t>
  </si>
  <si>
    <t>09 П 01 00110</t>
  </si>
  <si>
    <t>09 П 01 59900</t>
  </si>
  <si>
    <t>09 П 01 10110</t>
  </si>
  <si>
    <t>09 П 01 10120</t>
  </si>
  <si>
    <t>09 П 02 С902Д</t>
  </si>
  <si>
    <t>92 П 02 С905Д</t>
  </si>
  <si>
    <t>09 П 02 С9060</t>
  </si>
  <si>
    <t>09 П 02 10110</t>
  </si>
  <si>
    <t>09 П 02 1061Д</t>
  </si>
  <si>
    <t>09 П 02 10710</t>
  </si>
  <si>
    <t>09 2 04 63310</t>
  </si>
  <si>
    <t>09 И 01 9011Д</t>
  </si>
  <si>
    <t>Основное мероприятие: "Содействие в приобретении жилья специалистам"</t>
  </si>
  <si>
    <t>мероприятие: "Субсидии на обеспечение жильем работников социальной сферы Чукотского автономного округа"</t>
  </si>
  <si>
    <t>Основное мероприятие: "Обучение специалистов с высшим профессиональным образованием"</t>
  </si>
  <si>
    <t>План на 2020 год по Государственной программе, всего</t>
  </si>
  <si>
    <t>2.11</t>
  </si>
  <si>
    <t>09 1 02 Z027Д</t>
  </si>
  <si>
    <t>2.12</t>
  </si>
  <si>
    <t>09 1 02 R2550</t>
  </si>
  <si>
    <t>2.13</t>
  </si>
  <si>
    <t>09 1 02 53031</t>
  </si>
  <si>
    <t>540</t>
  </si>
  <si>
    <t>2.14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</si>
  <si>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на организацию бесплатного горячего питания для обучающихся, осваивающих образовательные программы начального общего образования)</t>
  </si>
  <si>
    <t>09 1 02 R3040</t>
  </si>
  <si>
    <t>3.3</t>
  </si>
  <si>
    <t>633</t>
  </si>
  <si>
    <t>мероприятие: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"</t>
  </si>
  <si>
    <t>12.2</t>
  </si>
  <si>
    <t>09 1 Е4 5210Д</t>
  </si>
  <si>
    <t>09 1 Е1 5169Д</t>
  </si>
  <si>
    <t>мероприятие: "Субсидии на создание центров цифрового образования детей"</t>
  </si>
  <si>
    <t xml:space="preserve">Основное мероприятие: "Региональный проект " Поддержка семей, имеющих детей" федерального проекта " Поддержка семей, имеющих детей" </t>
  </si>
  <si>
    <t>Субсидии на выплату специалистам муниципальных образовательных организаций денежной компенсации за наем (поднаем) жилых помещений</t>
  </si>
  <si>
    <t>09 2 01 42630</t>
  </si>
  <si>
    <t>09 2 03 55050</t>
  </si>
  <si>
    <t>Основное мероприятие: "Содействие в обеспечении жильем молодых специалистов Чукотского автономного округа"</t>
  </si>
  <si>
    <t>09 2 05 71930</t>
  </si>
  <si>
    <t>Основное мероприятие: "Реализация мероприятия "Земский учитель"</t>
  </si>
  <si>
    <t>09 2 06 R2560</t>
  </si>
  <si>
    <t>мероприятие: " Реализация мероприятий, направленных на развитие творческого потенциала и активности детей и молодежи под эгидой Уполномоченного по правам человека</t>
  </si>
  <si>
    <t>Основное мероприятие: "Олимпиады школьников"</t>
  </si>
  <si>
    <t>Организация и проведение олимпиад учащихся образовательных организаций Чукотского автономного округа</t>
  </si>
  <si>
    <t>09 3 06 6314Д</t>
  </si>
  <si>
    <t>Основное мероприятие: "Поддержка учреждений образования и их работников в области родных языков"</t>
  </si>
  <si>
    <t>Гранты некоммерческим организациям на проведение Окружного фестиваля родных языков</t>
  </si>
  <si>
    <t>Основное мероприятие: "Социальная активность " федерального проекта "Социальная активность"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</si>
  <si>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</si>
  <si>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Основное мероприятие: "Проектно-изыскательские, ремонтные работы, строительство, приобретение и реконструкция объектов государственной собственности"</t>
  </si>
  <si>
    <t>09 П 02 10120</t>
  </si>
  <si>
    <t>09 1 02 4242Д</t>
  </si>
  <si>
    <t>09 1 02 53032</t>
  </si>
  <si>
    <t xml:space="preserve">09 5 01 R4970
</t>
  </si>
  <si>
    <t>09 П 01 10130</t>
  </si>
  <si>
    <t>Создание в 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образовательных организаций специальным оборудованием</t>
  </si>
  <si>
    <t>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("Школа-интернат основного общего образования села Нунлингран")</t>
  </si>
  <si>
    <t xml:space="preserve">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</si>
  <si>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Создание условий для раннего развития детей в возрасте до трех лет, реализация программы психолого-педагогической, методической и консультативной помощи родителям детей, получающих дошкольное образование в семье</t>
  </si>
  <si>
    <t>мероприятие: "Оплата производственной практики обучающимся и студентам в соответствии с Постановлением Чукотского автономного округа от 26 апреля 2011 года N 163 "Об установлении размера и порядка оплаты производственной практики обучающимся и студентам по очной форме обучения в образовательных учреждениях начального и среднего профессионального образования, находящихся в ведении органов исполнительной власти Чукотского автономного округа""</t>
  </si>
  <si>
    <t>мероприятие: "Подготовка специалистов по программам высшего образования для экономики Чукотского автономного округа"</t>
  </si>
  <si>
    <t>Реализация мероприятий по обеспечению жильем молодых специалистов и семей, в состав которых входят молодые специалисты Чукотского автономного округа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</si>
  <si>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</si>
  <si>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мероприятие: "Предоставление дополнительных социальных выплат молодым семьям, получившим государственную поддержку на приобретение (строительство) жилья, при рождении (усыновлении) ребенка"</t>
  </si>
  <si>
    <t>мероприятие: "Создание новых мест в общеобразовательных организациях (Строительство объекта "Начальная школа в с. Лорино")"</t>
  </si>
  <si>
    <t>мероприятие: "Создание новых мест в общеобразовательных организациях, расположенных в сельской местности и поселках городского типа образования (Строительство объекта "Школа в с. Островное")"</t>
  </si>
  <si>
    <t>мероприятие: "Создание дополнительных мест для детей в возрасте от 1,5 до 3 лет в образовательных организациях, осуществляющих образовательную деятельность по программам дошкольного образования (Строительство объекта Детский сад в г. Анадырь)"</t>
  </si>
  <si>
    <t>мероприятие: "Осуществление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N 273-ФЗ "Об образовании в Российской Федерации" полномочий Российской Федерации в сфере образования"</t>
  </si>
  <si>
    <t>мероприятие: "Компенсация расходов на оплату стоимости проезда, переезда и провоза багажа в соответствии с Законом Чукотского автономного округа от 31 мая 2010 года N 57-ОЗ "О некоторых гарантиях и компенсациях для лиц, работающих в государственных органах Чукотского автономного округа, Чукотском территориальном фонде обязательного медицинского страхования, государственных учреждениях Чукотского автономного округа и расположенных в Чукотском автономном округе"»</t>
  </si>
  <si>
    <t>мероприятие: "Расходы на обеспечение деятельности (оказание услуг) школ-детских садов, школ начальных, неполных средних и средних"</t>
  </si>
  <si>
    <t>мероприятие: "Меры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родителей, в соответствии с Законом Чукотского автономного округа от 12 сентября 2016 года N 91-ОЗ "О дополнительных мерах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и порядке их реализации на территории Чукотского автономного округа"</t>
  </si>
  <si>
    <t>Мероприятие: "Меры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N 122-ОЗ "О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округа"</t>
  </si>
  <si>
    <t>09 1 03 42320</t>
  </si>
  <si>
    <t>09 1 04 60230</t>
  </si>
  <si>
    <t>мероприятие: "Субвенции на 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N 122-ОЗ "О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округа"</t>
  </si>
  <si>
    <t>Предусмотрено сводной бюджетной росписью на 2020 год (по состоянию на 01.01.2021 г.)</t>
  </si>
  <si>
    <t>профинансировано по состоянию на 01.01.2021 г.</t>
  </si>
  <si>
    <t>выполнено  по состоянию на 01.01.2021 г.</t>
  </si>
  <si>
    <t>мероприятие: "Проведение государственной итоговой аттестации"</t>
  </si>
  <si>
    <t>мероприятие: "Субсидии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спортом"</t>
  </si>
  <si>
    <t>мероприятие: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</si>
  <si>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(Иные межбюджетные трансферты на обеспечение жильем работников социальной сферы Чукотского автономного округа)</t>
  </si>
  <si>
    <t>09 И Е1 5230Д</t>
  </si>
  <si>
    <t>09 И Е1 5520Д</t>
  </si>
  <si>
    <t>09 И Р2 5232Д</t>
  </si>
  <si>
    <t>"Развитие образования и науки Чукотского автономного округа" за январь - декабрь  2020 года</t>
  </si>
  <si>
    <t>1.4</t>
  </si>
  <si>
    <t>мероприятие: "Выплата денежной компенсации за наем (поднаем) жилых помещений сотрудникам государственных органов Чукотского автономного округа"</t>
  </si>
  <si>
    <t>мероприятие: "Обеспечение проживания студентов и специалистов профессиональных образовательных учреждений, а также учреждений высшего профессионального образования, расположенных на территории Чукотского автономного округа"</t>
  </si>
  <si>
    <t>мероприятие: "Субвенции на реализацию прав на получение общедоступного и бесплатного образования в муниципальных образовательных организациях, входящих в Чукотский (надмуниципальный) образовательный округ"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</si>
</sst>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-* #,##0.0_р_._-;\-* #,##0.0_р_._-;_-* &quot;-&quot;?_р_._-;_-@_-"/>
    <numFmt numFmtId="168" formatCode="_-* #,##0.0\ _₽_-;\-* #,##0.0\ _₽_-;_-* &quot;-&quot;?\ _₽_-;_-@_-"/>
    <numFmt numFmtId="169" formatCode="_-* #,##0.00_р_._-;\-* #,##0.00_р_._-;_-* &quot;-&quot;?_р_._-;_-@_-"/>
    <numFmt numFmtId="170" formatCode="#,##0.0"/>
    <numFmt numFmtId="171" formatCode="_-* #,##0.0000000\ _₽_-;\-* #,##0.0000000\ _₽_-;_-* &quot;-&quot;?\ _₽_-;_-@_-"/>
    <numFmt numFmtId="172" formatCode="_-* #,##0.00\ _₽_-;\-* #,##0.00\ _₽_-;_-* &quot;-&quot;???????\ _₽_-;_-@_-"/>
    <numFmt numFmtId="173" formatCode="_-* #,##0.0\ _₽_-;\-* #,##0.0\ _₽_-;_-* &quot;-&quot;???????\ _₽_-;_-@_-"/>
  </numFmts>
  <fonts count="1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ahoma"/>
      <family val="2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2"/>
      <color rgb="FF0000FF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FF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70" fontId="15" fillId="5" borderId="13">
      <alignment horizontal="right" vertical="top" shrinkToFit="1"/>
    </xf>
    <xf numFmtId="1" fontId="16" fillId="0" borderId="13">
      <alignment horizontal="center" vertical="top" shrinkToFit="1"/>
    </xf>
    <xf numFmtId="166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0" borderId="0" xfId="0" applyNumberFormat="1" applyFont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7" fontId="3" fillId="0" borderId="1" xfId="3" applyNumberFormat="1" applyFont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167" fontId="2" fillId="0" borderId="1" xfId="3" applyNumberFormat="1" applyFont="1" applyBorder="1" applyAlignment="1">
      <alignment horizontal="right" vertical="center" wrapText="1"/>
    </xf>
    <xf numFmtId="167" fontId="3" fillId="3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Border="1" applyAlignment="1">
      <alignment horizontal="right" vertical="center" wrapText="1"/>
    </xf>
    <xf numFmtId="167" fontId="9" fillId="0" borderId="1" xfId="0" applyNumberFormat="1" applyFont="1" applyBorder="1" applyAlignment="1">
      <alignment horizontal="right" vertical="center" wrapText="1"/>
    </xf>
    <xf numFmtId="167" fontId="3" fillId="2" borderId="1" xfId="3" applyNumberFormat="1" applyFont="1" applyFill="1" applyBorder="1" applyAlignment="1">
      <alignment horizontal="right" vertical="center" wrapText="1"/>
    </xf>
    <xf numFmtId="167" fontId="3" fillId="3" borderId="1" xfId="3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7" fontId="3" fillId="0" borderId="0" xfId="3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167" fontId="2" fillId="0" borderId="1" xfId="3" applyNumberFormat="1" applyFont="1" applyFill="1" applyBorder="1" applyAlignment="1">
      <alignment horizontal="righ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7" fontId="2" fillId="0" borderId="0" xfId="0" applyNumberFormat="1" applyFont="1" applyFill="1" applyAlignment="1">
      <alignment vertical="center" wrapText="1"/>
    </xf>
    <xf numFmtId="167" fontId="10" fillId="0" borderId="0" xfId="0" applyNumberFormat="1" applyFont="1" applyAlignment="1">
      <alignment vertical="center" wrapText="1"/>
    </xf>
    <xf numFmtId="49" fontId="11" fillId="3" borderId="1" xfId="0" applyNumberFormat="1" applyFont="1" applyFill="1" applyBorder="1" applyAlignment="1">
      <alignment horizontal="justify" vertical="center" wrapText="1"/>
    </xf>
    <xf numFmtId="167" fontId="11" fillId="3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49" fontId="13" fillId="2" borderId="1" xfId="0" applyNumberFormat="1" applyFont="1" applyFill="1" applyBorder="1" applyAlignment="1">
      <alignment horizontal="justify" vertical="center" wrapText="1"/>
    </xf>
    <xf numFmtId="167" fontId="11" fillId="2" borderId="1" xfId="3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167" fontId="13" fillId="0" borderId="1" xfId="3" applyNumberFormat="1" applyFont="1" applyFill="1" applyBorder="1" applyAlignment="1">
      <alignment horizontal="right" vertical="center" wrapText="1"/>
    </xf>
    <xf numFmtId="167" fontId="13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168" fontId="2" fillId="0" borderId="1" xfId="3" applyNumberFormat="1" applyFont="1" applyBorder="1" applyAlignment="1">
      <alignment horizontal="right" vertical="center" wrapText="1"/>
    </xf>
    <xf numFmtId="168" fontId="2" fillId="0" borderId="0" xfId="0" applyNumberFormat="1" applyFont="1" applyAlignment="1">
      <alignment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14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167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49" fontId="2" fillId="0" borderId="5" xfId="0" applyNumberFormat="1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67" fontId="3" fillId="0" borderId="0" xfId="3" applyNumberFormat="1" applyFont="1" applyFill="1" applyBorder="1" applyAlignment="1">
      <alignment horizontal="right" vertical="center" wrapText="1"/>
    </xf>
    <xf numFmtId="167" fontId="10" fillId="0" borderId="0" xfId="0" applyNumberFormat="1" applyFont="1" applyFill="1" applyAlignment="1">
      <alignment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167" fontId="3" fillId="0" borderId="1" xfId="3" applyNumberFormat="1" applyFont="1" applyFill="1" applyBorder="1" applyAlignment="1">
      <alignment horizontal="right" vertical="center" wrapText="1"/>
    </xf>
    <xf numFmtId="0" fontId="5" fillId="4" borderId="0" xfId="0" applyFont="1" applyFill="1" applyAlignment="1">
      <alignment vertical="center" wrapText="1"/>
    </xf>
    <xf numFmtId="167" fontId="10" fillId="4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167" fontId="10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  <xf numFmtId="167" fontId="3" fillId="6" borderId="1" xfId="3" applyNumberFormat="1" applyFont="1" applyFill="1" applyBorder="1" applyAlignment="1">
      <alignment horizontal="right" vertical="center" wrapText="1"/>
    </xf>
    <xf numFmtId="167" fontId="3" fillId="6" borderId="1" xfId="0" applyNumberFormat="1" applyFont="1" applyFill="1" applyBorder="1" applyAlignment="1">
      <alignment horizontal="right" vertical="center" wrapText="1"/>
    </xf>
    <xf numFmtId="167" fontId="2" fillId="6" borderId="1" xfId="3" applyNumberFormat="1" applyFont="1" applyFill="1" applyBorder="1" applyAlignment="1">
      <alignment horizontal="right" vertical="center" wrapText="1"/>
    </xf>
    <xf numFmtId="167" fontId="2" fillId="6" borderId="1" xfId="0" applyNumberFormat="1" applyFont="1" applyFill="1" applyBorder="1" applyAlignment="1">
      <alignment horizontal="right" vertical="center" wrapText="1"/>
    </xf>
    <xf numFmtId="167" fontId="2" fillId="6" borderId="0" xfId="0" applyNumberFormat="1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165" fontId="2" fillId="6" borderId="0" xfId="0" applyNumberFormat="1" applyFont="1" applyFill="1" applyAlignment="1">
      <alignment vertical="center" wrapText="1"/>
    </xf>
    <xf numFmtId="49" fontId="3" fillId="7" borderId="1" xfId="0" applyNumberFormat="1" applyFont="1" applyFill="1" applyBorder="1" applyAlignment="1">
      <alignment horizontal="justify" vertical="center" wrapText="1"/>
    </xf>
    <xf numFmtId="0" fontId="3" fillId="7" borderId="1" xfId="0" applyFont="1" applyFill="1" applyBorder="1" applyAlignment="1">
      <alignment horizontal="justify" vertical="center" wrapText="1"/>
    </xf>
    <xf numFmtId="49" fontId="2" fillId="7" borderId="1" xfId="0" applyNumberFormat="1" applyFont="1" applyFill="1" applyBorder="1" applyAlignment="1">
      <alignment horizontal="justify" vertical="center" wrapText="1"/>
    </xf>
    <xf numFmtId="167" fontId="3" fillId="7" borderId="1" xfId="3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horizontal="justify" vertical="center" wrapText="1"/>
    </xf>
    <xf numFmtId="49" fontId="13" fillId="7" borderId="1" xfId="0" applyNumberFormat="1" applyFont="1" applyFill="1" applyBorder="1" applyAlignment="1">
      <alignment horizontal="justify" vertical="center" wrapText="1"/>
    </xf>
    <xf numFmtId="167" fontId="11" fillId="7" borderId="1" xfId="3" applyNumberFormat="1" applyFont="1" applyFill="1" applyBorder="1" applyAlignment="1">
      <alignment horizontal="right" vertical="center" wrapText="1"/>
    </xf>
    <xf numFmtId="168" fontId="2" fillId="0" borderId="0" xfId="0" applyNumberFormat="1" applyFont="1" applyFill="1" applyAlignment="1">
      <alignment vertical="center" wrapText="1"/>
    </xf>
    <xf numFmtId="171" fontId="2" fillId="0" borderId="0" xfId="0" applyNumberFormat="1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right" vertical="center" wrapText="1"/>
    </xf>
    <xf numFmtId="167" fontId="18" fillId="0" borderId="1" xfId="3" applyNumberFormat="1" applyFont="1" applyFill="1" applyBorder="1" applyAlignment="1">
      <alignment horizontal="right" vertical="center" wrapText="1"/>
    </xf>
    <xf numFmtId="172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73" fontId="2" fillId="0" borderId="0" xfId="0" applyNumberFormat="1" applyFont="1" applyAlignment="1">
      <alignment vertical="center" wrapText="1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9" xfId="0" applyNumberFormat="1" applyFont="1" applyFill="1" applyBorder="1" applyAlignment="1">
      <alignment horizontal="justify" vertical="center" wrapText="1"/>
    </xf>
    <xf numFmtId="49" fontId="2" fillId="0" borderId="5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2" fillId="0" borderId="2" xfId="0" applyNumberFormat="1" applyFont="1" applyFill="1" applyBorder="1" applyAlignment="1">
      <alignment horizontal="justify" vertical="center" wrapText="1"/>
    </xf>
    <xf numFmtId="0" fontId="2" fillId="0" borderId="9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">
    <cellStyle name="st51" xfId="1"/>
    <cellStyle name="xl26" xfId="2"/>
    <cellStyle name="Обычный" xfId="0" builtinId="0"/>
    <cellStyle name="Финансовый" xfId="3" builtinId="3"/>
  </cellStyles>
  <dxfs count="0"/>
  <tableStyles count="0" defaultTableStyle="TableStyleMedium9" defaultPivotStyle="PivotStyleLight16"/>
  <colors>
    <mruColors>
      <color rgb="FF0000FF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7"/>
  <sheetViews>
    <sheetView tabSelected="1" view="pageBreakPreview" zoomScale="70" zoomScaleNormal="75" zoomScaleSheetLayoutView="7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2" sqref="A2:V2"/>
    </sheetView>
  </sheetViews>
  <sheetFormatPr defaultRowHeight="15.75" x14ac:dyDescent="0.2"/>
  <cols>
    <col min="1" max="1" width="7.85546875" style="1" customWidth="1"/>
    <col min="2" max="2" width="69" style="1" customWidth="1"/>
    <col min="3" max="3" width="17.28515625" style="1" customWidth="1"/>
    <col min="4" max="4" width="15.7109375" style="1" customWidth="1"/>
    <col min="5" max="5" width="11.85546875" style="1" customWidth="1"/>
    <col min="6" max="6" width="11" style="1" customWidth="1"/>
    <col min="7" max="7" width="17.140625" style="1" customWidth="1"/>
    <col min="8" max="8" width="14.28515625" style="1" hidden="1" customWidth="1"/>
    <col min="9" max="9" width="16.140625" style="1" hidden="1" customWidth="1"/>
    <col min="10" max="10" width="12" style="1" hidden="1" customWidth="1"/>
    <col min="11" max="11" width="17.28515625" style="1" customWidth="1"/>
    <col min="12" max="12" width="13.85546875" style="1" customWidth="1"/>
    <col min="13" max="13" width="15.28515625" style="88" customWidth="1"/>
    <col min="14" max="14" width="12" style="1" customWidth="1"/>
    <col min="15" max="15" width="16.5703125" style="1" customWidth="1"/>
    <col min="16" max="16" width="14" style="88" customWidth="1"/>
    <col min="17" max="17" width="16.28515625" style="88" customWidth="1"/>
    <col min="18" max="18" width="11" style="1" customWidth="1"/>
    <col min="19" max="19" width="16.140625" style="1" customWidth="1"/>
    <col min="20" max="20" width="15" style="88" customWidth="1"/>
    <col min="21" max="21" width="15.85546875" style="88" customWidth="1"/>
    <col min="22" max="22" width="12.42578125" style="1" customWidth="1"/>
    <col min="23" max="23" width="14.85546875" style="1" customWidth="1"/>
    <col min="24" max="24" width="20.85546875" style="1" customWidth="1"/>
    <col min="25" max="25" width="15.42578125" style="1" bestFit="1" customWidth="1"/>
    <col min="26" max="26" width="27" style="1" customWidth="1"/>
    <col min="27" max="27" width="12.42578125" style="1" customWidth="1"/>
    <col min="28" max="28" width="9.140625" style="1"/>
    <col min="29" max="29" width="10.5703125" style="1" bestFit="1" customWidth="1"/>
    <col min="30" max="16384" width="9.140625" style="1"/>
  </cols>
  <sheetData>
    <row r="1" spans="1:29" ht="27" customHeight="1" x14ac:dyDescent="0.2">
      <c r="A1" s="135" t="s">
        <v>47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29" ht="38.25" customHeight="1" x14ac:dyDescent="0.2">
      <c r="A2" s="139" t="s">
        <v>291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46"/>
      <c r="X2" s="147"/>
    </row>
    <row r="3" spans="1:29" x14ac:dyDescent="0.2">
      <c r="A3" s="43"/>
      <c r="B3" s="43"/>
      <c r="C3" s="43"/>
      <c r="D3" s="43"/>
      <c r="E3" s="43"/>
      <c r="F3" s="148"/>
      <c r="G3" s="148"/>
      <c r="H3" s="104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9" ht="39" customHeight="1" x14ac:dyDescent="0.2">
      <c r="A4" s="144" t="s">
        <v>1</v>
      </c>
      <c r="B4" s="144" t="s">
        <v>0</v>
      </c>
      <c r="C4" s="136" t="s">
        <v>49</v>
      </c>
      <c r="D4" s="137"/>
      <c r="E4" s="138"/>
      <c r="F4" s="142" t="s">
        <v>50</v>
      </c>
      <c r="G4" s="150" t="s">
        <v>221</v>
      </c>
      <c r="H4" s="34"/>
      <c r="I4" s="34"/>
      <c r="J4" s="35"/>
      <c r="K4" s="144" t="s">
        <v>281</v>
      </c>
      <c r="L4" s="144"/>
      <c r="M4" s="144"/>
      <c r="N4" s="144"/>
      <c r="O4" s="141" t="s">
        <v>282</v>
      </c>
      <c r="P4" s="141"/>
      <c r="Q4" s="141"/>
      <c r="R4" s="141"/>
      <c r="S4" s="141" t="s">
        <v>283</v>
      </c>
      <c r="T4" s="141"/>
      <c r="U4" s="141"/>
      <c r="V4" s="141"/>
      <c r="W4" s="16" t="s">
        <v>48</v>
      </c>
    </row>
    <row r="5" spans="1:29" x14ac:dyDescent="0.2">
      <c r="A5" s="144"/>
      <c r="B5" s="144"/>
      <c r="C5" s="142" t="s">
        <v>2</v>
      </c>
      <c r="D5" s="142" t="s">
        <v>51</v>
      </c>
      <c r="E5" s="142" t="s">
        <v>3</v>
      </c>
      <c r="F5" s="145"/>
      <c r="G5" s="151"/>
      <c r="H5" s="144" t="s">
        <v>5</v>
      </c>
      <c r="I5" s="144"/>
      <c r="J5" s="144"/>
      <c r="K5" s="144" t="s">
        <v>4</v>
      </c>
      <c r="L5" s="149" t="s">
        <v>5</v>
      </c>
      <c r="M5" s="149"/>
      <c r="N5" s="149"/>
      <c r="O5" s="141" t="s">
        <v>44</v>
      </c>
      <c r="P5" s="140" t="s">
        <v>5</v>
      </c>
      <c r="Q5" s="140"/>
      <c r="R5" s="4"/>
      <c r="S5" s="141" t="s">
        <v>44</v>
      </c>
      <c r="T5" s="140" t="s">
        <v>5</v>
      </c>
      <c r="U5" s="140"/>
      <c r="V5" s="4"/>
      <c r="W5" s="17"/>
    </row>
    <row r="6" spans="1:29" ht="63" customHeight="1" x14ac:dyDescent="0.2">
      <c r="A6" s="144"/>
      <c r="B6" s="144"/>
      <c r="C6" s="143"/>
      <c r="D6" s="143"/>
      <c r="E6" s="143"/>
      <c r="F6" s="143"/>
      <c r="G6" s="152"/>
      <c r="H6" s="2" t="s">
        <v>10</v>
      </c>
      <c r="I6" s="2" t="s">
        <v>2</v>
      </c>
      <c r="J6" s="2" t="s">
        <v>3</v>
      </c>
      <c r="K6" s="144"/>
      <c r="L6" s="54" t="s">
        <v>10</v>
      </c>
      <c r="M6" s="54" t="s">
        <v>2</v>
      </c>
      <c r="N6" s="54" t="s">
        <v>3</v>
      </c>
      <c r="O6" s="141"/>
      <c r="P6" s="106" t="s">
        <v>45</v>
      </c>
      <c r="Q6" s="106" t="s">
        <v>46</v>
      </c>
      <c r="R6" s="54" t="s">
        <v>3</v>
      </c>
      <c r="S6" s="141"/>
      <c r="T6" s="106" t="s">
        <v>45</v>
      </c>
      <c r="U6" s="106" t="s">
        <v>46</v>
      </c>
      <c r="V6" s="54" t="s">
        <v>3</v>
      </c>
      <c r="W6" s="18"/>
    </row>
    <row r="7" spans="1:29" x14ac:dyDescent="0.2">
      <c r="A7" s="36">
        <v>1</v>
      </c>
      <c r="B7" s="36">
        <v>2</v>
      </c>
      <c r="C7" s="37" t="s">
        <v>8</v>
      </c>
      <c r="D7" s="37" t="s">
        <v>11</v>
      </c>
      <c r="E7" s="37" t="s">
        <v>12</v>
      </c>
      <c r="F7" s="37" t="s">
        <v>14</v>
      </c>
      <c r="G7" s="36">
        <v>7</v>
      </c>
      <c r="H7" s="36"/>
      <c r="I7" s="36"/>
      <c r="J7" s="36"/>
      <c r="K7" s="36">
        <v>8</v>
      </c>
      <c r="L7" s="106">
        <v>9</v>
      </c>
      <c r="M7" s="106">
        <v>10</v>
      </c>
      <c r="N7" s="106">
        <v>11</v>
      </c>
      <c r="O7" s="106">
        <v>12</v>
      </c>
      <c r="P7" s="106">
        <v>13</v>
      </c>
      <c r="Q7" s="106">
        <v>14</v>
      </c>
      <c r="R7" s="106">
        <v>15</v>
      </c>
      <c r="S7" s="106">
        <v>16</v>
      </c>
      <c r="T7" s="106">
        <v>17</v>
      </c>
      <c r="U7" s="106">
        <v>18</v>
      </c>
      <c r="V7" s="106">
        <v>19</v>
      </c>
      <c r="W7" s="19"/>
    </row>
    <row r="8" spans="1:29" ht="48" customHeight="1" x14ac:dyDescent="0.2">
      <c r="A8" s="2"/>
      <c r="B8" s="15" t="s">
        <v>6</v>
      </c>
      <c r="C8" s="27"/>
      <c r="D8" s="27"/>
      <c r="E8" s="27"/>
      <c r="F8" s="27"/>
      <c r="G8" s="7">
        <f>H8+I8+J8</f>
        <v>6199889.8000000007</v>
      </c>
      <c r="H8" s="7">
        <f>H9+H79+H106+H131+H146+H151+H160</f>
        <v>565790.80000000005</v>
      </c>
      <c r="I8" s="7">
        <f>I9+I79+I106+I131+I146+I151+I160</f>
        <v>5634099.0000000009</v>
      </c>
      <c r="J8" s="7">
        <f>J9+J79+J106+J131+J146+J151+J160</f>
        <v>0</v>
      </c>
      <c r="K8" s="7">
        <f>L8+M8+N8</f>
        <v>6199889.8000000007</v>
      </c>
      <c r="L8" s="78">
        <f>L9+L79+L106+L131+L146+L151+L160</f>
        <v>565790.80000000005</v>
      </c>
      <c r="M8" s="78">
        <f>M9+M79+M106+M131+M146+M151+M160</f>
        <v>5634099.0000000009</v>
      </c>
      <c r="N8" s="78">
        <f>N9+N79+N106+N131+N146+N151+N160</f>
        <v>0</v>
      </c>
      <c r="O8" s="78">
        <f>P8+Q8+R8</f>
        <v>6116691.5</v>
      </c>
      <c r="P8" s="78">
        <f>P9+P79+P106+P131+P146+P151+P160</f>
        <v>564445.5</v>
      </c>
      <c r="Q8" s="78">
        <f>Q9+Q79+Q106+Q131+Q146+Q151+Q160</f>
        <v>5552246</v>
      </c>
      <c r="R8" s="78">
        <f>R9+R79+R106+R131+R146+R151+R160</f>
        <v>0</v>
      </c>
      <c r="S8" s="78">
        <f>T8+U8+V8</f>
        <v>5730671.8999999994</v>
      </c>
      <c r="T8" s="78">
        <f>T9+T79+T106+T131+T146+T151+T160</f>
        <v>191257.60000000001</v>
      </c>
      <c r="U8" s="78">
        <f>U9+U79+U106+U131+U146+U151+U160</f>
        <v>5539414.2999999998</v>
      </c>
      <c r="V8" s="78">
        <f>V9+V79+V106+V131+V146+V151+V160</f>
        <v>0</v>
      </c>
      <c r="W8" s="20">
        <f>S8*100/K8</f>
        <v>92.431834836806289</v>
      </c>
      <c r="Y8" s="46"/>
      <c r="Z8" s="46"/>
    </row>
    <row r="9" spans="1:29" ht="60" customHeight="1" x14ac:dyDescent="0.2">
      <c r="A9" s="128" t="s">
        <v>101</v>
      </c>
      <c r="B9" s="128"/>
      <c r="C9" s="28"/>
      <c r="D9" s="28"/>
      <c r="E9" s="28"/>
      <c r="F9" s="28"/>
      <c r="G9" s="10">
        <f>SUM(H9:J9)</f>
        <v>4672996.1000000006</v>
      </c>
      <c r="H9" s="10">
        <f>H10+H18+H35+H43+H46+H48+H52+H55+H59+H61+H65+H67+H69+H73+H75</f>
        <v>177264.90000000002</v>
      </c>
      <c r="I9" s="10">
        <f>I10+I18+I35+I43+I46+I48+I52+I55+I59+I61+I65+I67+I69+I73+I75</f>
        <v>4495731.2</v>
      </c>
      <c r="J9" s="10">
        <f>J10+J18+J35+J43+J46+J48+J52+J55+J59+J61+J65+J67+J69+J73+J75</f>
        <v>0</v>
      </c>
      <c r="K9" s="10">
        <f t="shared" ref="K9:K17" si="0">SUM(L9:N9)</f>
        <v>4672996.1000000006</v>
      </c>
      <c r="L9" s="10">
        <f>L10+L18+L35+L43+L46+L48+L52+L55+L59+L61+L65+L67+L69+L73+L75</f>
        <v>177264.90000000002</v>
      </c>
      <c r="M9" s="10">
        <f>M10+M18+M35+M43+M46+M48+M52+M55+M59+M61+M65+M67+M69+M73+M75</f>
        <v>4495731.2</v>
      </c>
      <c r="N9" s="10">
        <f>N10+N18+N35+N43+N46+N48+N52+N55+N59+N61+N65+N67+N69+N73+N75</f>
        <v>0</v>
      </c>
      <c r="O9" s="10">
        <f t="shared" ref="O9:O17" si="1">SUM(P9:R9)</f>
        <v>4633711.3999999994</v>
      </c>
      <c r="P9" s="10">
        <f>P10+P18+P35+P43+P46+P48+P52+P55+P59+P61+P65+P67+P69+P73+P75</f>
        <v>175988.8</v>
      </c>
      <c r="Q9" s="10">
        <f>Q10+Q18+Q35+Q43+Q46+Q48+Q52+Q55+Q59+Q61+Q65+Q67+Q69+Q73+Q75</f>
        <v>4457722.5999999996</v>
      </c>
      <c r="R9" s="10">
        <f>R10+R18+R35+R43+R46+R48+R52+R55+R59+R61+R65+R67+R69+R73+R75</f>
        <v>0</v>
      </c>
      <c r="S9" s="10">
        <f t="shared" ref="S9:S17" si="2">SUM(T9:V9)</f>
        <v>4625176.8999999994</v>
      </c>
      <c r="T9" s="10">
        <f>T10+T18+T35+T43+T46+T48+T52+T55+T59+T61+T65+T67+T69+T73+T75</f>
        <v>173419.5</v>
      </c>
      <c r="U9" s="10">
        <f>U10+U18+U35+U43+U46+U48+U52+U55+U59+U61+U65+U67+U69+U73+U75</f>
        <v>4451757.3999999994</v>
      </c>
      <c r="V9" s="10">
        <f>V10+V18+V35+V43+V46+V48+V52+V55+V59+V61+V65+V67+V69+V73+V75</f>
        <v>0</v>
      </c>
      <c r="W9" s="20">
        <f t="shared" ref="W9:W82" si="3">S9*100/K9</f>
        <v>98.97669077874896</v>
      </c>
      <c r="Y9" s="46"/>
      <c r="Z9" s="46"/>
    </row>
    <row r="10" spans="1:29" ht="39" customHeight="1" x14ac:dyDescent="0.2">
      <c r="A10" s="22">
        <v>1</v>
      </c>
      <c r="B10" s="23" t="s">
        <v>9</v>
      </c>
      <c r="C10" s="96"/>
      <c r="D10" s="96"/>
      <c r="E10" s="96"/>
      <c r="F10" s="96"/>
      <c r="G10" s="99">
        <f>SUM(H10:J10)</f>
        <v>4114925.1</v>
      </c>
      <c r="H10" s="100">
        <f>H11+H12+H17</f>
        <v>0</v>
      </c>
      <c r="I10" s="100">
        <f t="shared" ref="I10:J10" si="4">I11+I12+I17</f>
        <v>4114925.1</v>
      </c>
      <c r="J10" s="100">
        <f t="shared" si="4"/>
        <v>0</v>
      </c>
      <c r="K10" s="100">
        <f t="shared" si="0"/>
        <v>4114925.1</v>
      </c>
      <c r="L10" s="100">
        <f t="shared" ref="L10:N10" si="5">L11+L12+L17</f>
        <v>0</v>
      </c>
      <c r="M10" s="100">
        <f t="shared" si="5"/>
        <v>4114925.1</v>
      </c>
      <c r="N10" s="100">
        <f t="shared" si="5"/>
        <v>0</v>
      </c>
      <c r="O10" s="100">
        <f t="shared" si="1"/>
        <v>4112047.6</v>
      </c>
      <c r="P10" s="100">
        <f t="shared" ref="P10:R10" si="6">P11+P12+P17</f>
        <v>0</v>
      </c>
      <c r="Q10" s="100">
        <f t="shared" si="6"/>
        <v>4112047.6</v>
      </c>
      <c r="R10" s="100">
        <f t="shared" si="6"/>
        <v>0</v>
      </c>
      <c r="S10" s="100">
        <f t="shared" si="2"/>
        <v>4109995.1</v>
      </c>
      <c r="T10" s="100">
        <f t="shared" ref="T10:V10" si="7">T11+T12+T17</f>
        <v>0</v>
      </c>
      <c r="U10" s="100">
        <f t="shared" si="7"/>
        <v>4109995.1</v>
      </c>
      <c r="V10" s="5">
        <f t="shared" si="7"/>
        <v>0</v>
      </c>
      <c r="W10" s="20">
        <f t="shared" si="3"/>
        <v>99.880192229987372</v>
      </c>
      <c r="Y10" s="46"/>
      <c r="Z10" s="46"/>
      <c r="AA10" s="43"/>
      <c r="AB10" s="43"/>
      <c r="AC10" s="43"/>
    </row>
    <row r="11" spans="1:29" ht="63.75" customHeight="1" x14ac:dyDescent="0.2">
      <c r="A11" s="24" t="s">
        <v>26</v>
      </c>
      <c r="B11" s="82" t="s">
        <v>295</v>
      </c>
      <c r="C11" s="29" t="s">
        <v>168</v>
      </c>
      <c r="D11" s="29"/>
      <c r="E11" s="29"/>
      <c r="F11" s="29" t="s">
        <v>52</v>
      </c>
      <c r="G11" s="9">
        <f>H11+I11+J11</f>
        <v>4096220.1</v>
      </c>
      <c r="H11" s="6"/>
      <c r="I11" s="9">
        <v>4096220.1</v>
      </c>
      <c r="J11" s="6">
        <v>0</v>
      </c>
      <c r="K11" s="6">
        <f t="shared" si="0"/>
        <v>4096220.1</v>
      </c>
      <c r="L11" s="6"/>
      <c r="M11" s="39">
        <v>4096220.1</v>
      </c>
      <c r="N11" s="33">
        <v>0</v>
      </c>
      <c r="O11" s="33">
        <f t="shared" si="1"/>
        <v>4096220.1</v>
      </c>
      <c r="P11" s="33">
        <f t="shared" ref="P11:P17" si="8">T11</f>
        <v>0</v>
      </c>
      <c r="Q11" s="33">
        <f>4096220.1</f>
        <v>4096220.1</v>
      </c>
      <c r="R11" s="33"/>
      <c r="S11" s="33">
        <f t="shared" si="2"/>
        <v>4094167.6</v>
      </c>
      <c r="T11" s="33"/>
      <c r="U11" s="33">
        <v>4094167.6</v>
      </c>
      <c r="V11" s="6"/>
      <c r="W11" s="20">
        <f t="shared" si="3"/>
        <v>99.949892829245186</v>
      </c>
      <c r="Y11" s="68"/>
      <c r="Z11" s="68"/>
      <c r="AA11" s="43"/>
      <c r="AB11" s="43"/>
      <c r="AC11" s="43"/>
    </row>
    <row r="12" spans="1:29" ht="15.75" customHeight="1" x14ac:dyDescent="0.2">
      <c r="A12" s="118" t="s">
        <v>27</v>
      </c>
      <c r="B12" s="122" t="s">
        <v>284</v>
      </c>
      <c r="C12" s="29" t="s">
        <v>167</v>
      </c>
      <c r="D12" s="29"/>
      <c r="E12" s="29"/>
      <c r="F12" s="29"/>
      <c r="G12" s="9">
        <f t="shared" ref="G12:G34" si="9">H12+I12+J12</f>
        <v>18705</v>
      </c>
      <c r="H12" s="6"/>
      <c r="I12" s="9">
        <f>SUM(I13:I16)</f>
        <v>18705</v>
      </c>
      <c r="J12" s="6"/>
      <c r="K12" s="6">
        <f t="shared" si="0"/>
        <v>18705</v>
      </c>
      <c r="L12" s="6"/>
      <c r="M12" s="39">
        <f>SUM(M13:M16)</f>
        <v>18705</v>
      </c>
      <c r="N12" s="33"/>
      <c r="O12" s="33">
        <f t="shared" si="1"/>
        <v>15827.5</v>
      </c>
      <c r="P12" s="33">
        <f t="shared" si="8"/>
        <v>0</v>
      </c>
      <c r="Q12" s="33">
        <f>SUM(Q13:Q16)</f>
        <v>15827.5</v>
      </c>
      <c r="R12" s="33"/>
      <c r="S12" s="33">
        <f t="shared" si="2"/>
        <v>15827.5</v>
      </c>
      <c r="T12" s="33"/>
      <c r="U12" s="33">
        <f>SUM(U13:U16)</f>
        <v>15827.5</v>
      </c>
      <c r="V12" s="6"/>
      <c r="W12" s="20">
        <f t="shared" si="3"/>
        <v>84.616412723870624</v>
      </c>
      <c r="Y12" s="46"/>
      <c r="Z12" s="46"/>
      <c r="AA12" s="43"/>
      <c r="AB12" s="43"/>
      <c r="AC12" s="43"/>
    </row>
    <row r="13" spans="1:29" ht="15.75" customHeight="1" x14ac:dyDescent="0.2">
      <c r="A13" s="119"/>
      <c r="B13" s="123"/>
      <c r="C13" s="29" t="s">
        <v>167</v>
      </c>
      <c r="D13" s="29"/>
      <c r="E13" s="29"/>
      <c r="F13" s="29" t="s">
        <v>169</v>
      </c>
      <c r="G13" s="9">
        <f t="shared" si="9"/>
        <v>950</v>
      </c>
      <c r="H13" s="6"/>
      <c r="I13" s="9">
        <v>950</v>
      </c>
      <c r="J13" s="6"/>
      <c r="K13" s="6">
        <f t="shared" si="0"/>
        <v>950</v>
      </c>
      <c r="L13" s="6"/>
      <c r="M13" s="39">
        <v>950</v>
      </c>
      <c r="N13" s="33"/>
      <c r="O13" s="33">
        <f t="shared" si="1"/>
        <v>260.8</v>
      </c>
      <c r="P13" s="33"/>
      <c r="Q13" s="33">
        <v>260.8</v>
      </c>
      <c r="R13" s="33"/>
      <c r="S13" s="33">
        <f t="shared" si="2"/>
        <v>260.8</v>
      </c>
      <c r="T13" s="33"/>
      <c r="U13" s="33">
        <f>Q13</f>
        <v>260.8</v>
      </c>
      <c r="V13" s="6"/>
      <c r="W13" s="20"/>
      <c r="Y13" s="46"/>
      <c r="Z13" s="46"/>
      <c r="AA13" s="43"/>
      <c r="AB13" s="43"/>
      <c r="AC13" s="43"/>
    </row>
    <row r="14" spans="1:29" ht="15.75" customHeight="1" x14ac:dyDescent="0.2">
      <c r="A14" s="119"/>
      <c r="B14" s="123"/>
      <c r="C14" s="29" t="s">
        <v>167</v>
      </c>
      <c r="D14" s="29"/>
      <c r="E14" s="29"/>
      <c r="F14" s="29" t="s">
        <v>68</v>
      </c>
      <c r="G14" s="9">
        <f t="shared" si="9"/>
        <v>540.20000000000005</v>
      </c>
      <c r="H14" s="6"/>
      <c r="I14" s="9">
        <v>540.20000000000005</v>
      </c>
      <c r="J14" s="6"/>
      <c r="K14" s="6">
        <f t="shared" si="0"/>
        <v>540.20000000000005</v>
      </c>
      <c r="L14" s="6"/>
      <c r="M14" s="39">
        <v>540.20000000000005</v>
      </c>
      <c r="N14" s="33"/>
      <c r="O14" s="33">
        <f t="shared" si="1"/>
        <v>6.2</v>
      </c>
      <c r="P14" s="33">
        <f t="shared" si="8"/>
        <v>0</v>
      </c>
      <c r="Q14" s="33">
        <v>6.2</v>
      </c>
      <c r="R14" s="33"/>
      <c r="S14" s="33">
        <f t="shared" si="2"/>
        <v>6.2</v>
      </c>
      <c r="T14" s="33"/>
      <c r="U14" s="33">
        <f t="shared" ref="U14:U16" si="10">Q14</f>
        <v>6.2</v>
      </c>
      <c r="V14" s="6"/>
      <c r="W14" s="20">
        <f t="shared" si="3"/>
        <v>1.1477230655312847</v>
      </c>
      <c r="Y14" s="46"/>
      <c r="Z14" s="46"/>
      <c r="AA14" s="43"/>
      <c r="AB14" s="43"/>
      <c r="AC14" s="43"/>
    </row>
    <row r="15" spans="1:29" ht="15.75" customHeight="1" x14ac:dyDescent="0.2">
      <c r="A15" s="119"/>
      <c r="B15" s="123"/>
      <c r="C15" s="29" t="s">
        <v>167</v>
      </c>
      <c r="D15" s="29"/>
      <c r="E15" s="29"/>
      <c r="F15" s="29" t="s">
        <v>56</v>
      </c>
      <c r="G15" s="9">
        <f t="shared" si="9"/>
        <v>15254.8</v>
      </c>
      <c r="H15" s="6"/>
      <c r="I15" s="9">
        <v>15254.8</v>
      </c>
      <c r="J15" s="6"/>
      <c r="K15" s="6">
        <f t="shared" si="0"/>
        <v>15254.8</v>
      </c>
      <c r="L15" s="6"/>
      <c r="M15" s="39">
        <f>15254.8</f>
        <v>15254.8</v>
      </c>
      <c r="N15" s="33"/>
      <c r="O15" s="33">
        <f t="shared" si="1"/>
        <v>13722.3</v>
      </c>
      <c r="P15" s="33">
        <f t="shared" si="8"/>
        <v>0</v>
      </c>
      <c r="Q15" s="33">
        <v>13722.3</v>
      </c>
      <c r="R15" s="33"/>
      <c r="S15" s="33">
        <f t="shared" si="2"/>
        <v>13722.3</v>
      </c>
      <c r="T15" s="33"/>
      <c r="U15" s="33">
        <f t="shared" si="10"/>
        <v>13722.3</v>
      </c>
      <c r="V15" s="6"/>
      <c r="W15" s="20">
        <f t="shared" si="3"/>
        <v>89.953981697564046</v>
      </c>
      <c r="Y15" s="46"/>
      <c r="Z15" s="46"/>
      <c r="AA15" s="43"/>
      <c r="AB15" s="43"/>
      <c r="AC15" s="43"/>
    </row>
    <row r="16" spans="1:29" ht="15.75" customHeight="1" x14ac:dyDescent="0.2">
      <c r="A16" s="120"/>
      <c r="B16" s="124"/>
      <c r="C16" s="29" t="s">
        <v>167</v>
      </c>
      <c r="D16" s="29"/>
      <c r="E16" s="29"/>
      <c r="F16" s="29" t="s">
        <v>54</v>
      </c>
      <c r="G16" s="9">
        <f t="shared" si="9"/>
        <v>1960</v>
      </c>
      <c r="H16" s="6"/>
      <c r="I16" s="9">
        <v>1960</v>
      </c>
      <c r="J16" s="6"/>
      <c r="K16" s="6">
        <f t="shared" si="0"/>
        <v>1960</v>
      </c>
      <c r="L16" s="6"/>
      <c r="M16" s="39">
        <v>1960</v>
      </c>
      <c r="N16" s="33"/>
      <c r="O16" s="33">
        <f t="shared" si="1"/>
        <v>1838.2</v>
      </c>
      <c r="P16" s="33">
        <f t="shared" si="8"/>
        <v>0</v>
      </c>
      <c r="Q16" s="33">
        <v>1838.2</v>
      </c>
      <c r="R16" s="33"/>
      <c r="S16" s="33">
        <f t="shared" si="2"/>
        <v>1838.2</v>
      </c>
      <c r="T16" s="33"/>
      <c r="U16" s="33">
        <f t="shared" si="10"/>
        <v>1838.2</v>
      </c>
      <c r="V16" s="6"/>
      <c r="W16" s="20">
        <f t="shared" si="3"/>
        <v>93.785714285714292</v>
      </c>
      <c r="Y16" s="46"/>
      <c r="Z16" s="46"/>
      <c r="AA16" s="43"/>
      <c r="AB16" s="43"/>
      <c r="AC16" s="43"/>
    </row>
    <row r="17" spans="1:29" ht="68.25" hidden="1" customHeight="1" x14ac:dyDescent="0.2">
      <c r="A17" s="40" t="s">
        <v>32</v>
      </c>
      <c r="B17" s="25"/>
      <c r="C17" s="29"/>
      <c r="D17" s="29"/>
      <c r="E17" s="29"/>
      <c r="F17" s="29"/>
      <c r="G17" s="9">
        <f t="shared" si="9"/>
        <v>0</v>
      </c>
      <c r="H17" s="6"/>
      <c r="I17" s="9"/>
      <c r="J17" s="6"/>
      <c r="K17" s="6">
        <f t="shared" si="0"/>
        <v>0</v>
      </c>
      <c r="L17" s="6"/>
      <c r="M17" s="91"/>
      <c r="N17" s="6"/>
      <c r="O17" s="6">
        <f t="shared" si="1"/>
        <v>0</v>
      </c>
      <c r="P17" s="92">
        <f t="shared" si="8"/>
        <v>0</v>
      </c>
      <c r="Q17" s="92">
        <f>U17</f>
        <v>0</v>
      </c>
      <c r="R17" s="6"/>
      <c r="S17" s="6">
        <f t="shared" si="2"/>
        <v>0</v>
      </c>
      <c r="T17" s="92"/>
      <c r="U17" s="92"/>
      <c r="V17" s="6"/>
      <c r="W17" s="20" t="e">
        <f t="shared" si="3"/>
        <v>#DIV/0!</v>
      </c>
      <c r="Y17" s="46"/>
      <c r="Z17" s="46"/>
      <c r="AA17" s="43"/>
      <c r="AB17" s="43"/>
      <c r="AC17" s="43"/>
    </row>
    <row r="18" spans="1:29" ht="39" customHeight="1" x14ac:dyDescent="0.2">
      <c r="A18" s="22" t="s">
        <v>7</v>
      </c>
      <c r="B18" s="23" t="s">
        <v>102</v>
      </c>
      <c r="C18" s="22"/>
      <c r="D18" s="22"/>
      <c r="E18" s="22"/>
      <c r="F18" s="22"/>
      <c r="G18" s="13">
        <f>H18+I18+J18</f>
        <v>284515.59999999998</v>
      </c>
      <c r="H18" s="5">
        <f>H19+H20+H21+H22+H23+H24+H25+H26+H27+H28+H29+H30+H31+H34</f>
        <v>70953.200000000012</v>
      </c>
      <c r="I18" s="5">
        <f t="shared" ref="I18:J18" si="11">I19+I20+I21+I22+I23+I24+I25+I26+I27+I28+I29+I30+I31+I34</f>
        <v>213562.4</v>
      </c>
      <c r="J18" s="5">
        <f t="shared" si="11"/>
        <v>0</v>
      </c>
      <c r="K18" s="100">
        <f>L18+M18+N18</f>
        <v>284515.59999999998</v>
      </c>
      <c r="L18" s="100">
        <f t="shared" ref="L18:N18" si="12">L19+L20+L21+L22+L23+L24+L25+L26+L27+L28+L29+L30+L31+L34</f>
        <v>70953.200000000012</v>
      </c>
      <c r="M18" s="100">
        <f t="shared" si="12"/>
        <v>213562.4</v>
      </c>
      <c r="N18" s="100">
        <f t="shared" si="12"/>
        <v>0</v>
      </c>
      <c r="O18" s="100">
        <f>P18+Q18+R18</f>
        <v>257730.99999999997</v>
      </c>
      <c r="P18" s="100">
        <f t="shared" ref="P18:R18" si="13">P19+P20+P21+P22+P23+P24+P25+P26+P27+P28+P29+P30+P31+P34</f>
        <v>69677.100000000006</v>
      </c>
      <c r="Q18" s="100">
        <f t="shared" si="13"/>
        <v>188053.89999999997</v>
      </c>
      <c r="R18" s="100">
        <f t="shared" si="13"/>
        <v>0</v>
      </c>
      <c r="S18" s="100">
        <f>T18+U18+V18</f>
        <v>252975.9</v>
      </c>
      <c r="T18" s="100">
        <f t="shared" ref="T18:V18" si="14">T19+T20+T21+T22+T23+T24+T25+T26+T27+T28+T29+T30+T31+T34</f>
        <v>67107.799999999988</v>
      </c>
      <c r="U18" s="100">
        <f t="shared" si="14"/>
        <v>185868.1</v>
      </c>
      <c r="V18" s="5">
        <f t="shared" si="14"/>
        <v>0</v>
      </c>
      <c r="W18" s="20">
        <f t="shared" si="3"/>
        <v>88.914597301518796</v>
      </c>
      <c r="Y18" s="46"/>
      <c r="Z18" s="46"/>
      <c r="AA18" s="43"/>
      <c r="AB18" s="43"/>
      <c r="AC18" s="43"/>
    </row>
    <row r="19" spans="1:29" ht="87.75" customHeight="1" x14ac:dyDescent="0.2">
      <c r="A19" s="24" t="s">
        <v>29</v>
      </c>
      <c r="B19" s="26" t="s">
        <v>78</v>
      </c>
      <c r="C19" s="29" t="s">
        <v>170</v>
      </c>
      <c r="D19" s="29"/>
      <c r="E19" s="29"/>
      <c r="F19" s="29" t="s">
        <v>52</v>
      </c>
      <c r="G19" s="9">
        <f t="shared" si="9"/>
        <v>4897.8999999999996</v>
      </c>
      <c r="H19" s="6"/>
      <c r="I19" s="9">
        <f>M19</f>
        <v>4897.8999999999996</v>
      </c>
      <c r="J19" s="6">
        <v>0</v>
      </c>
      <c r="K19" s="6">
        <f t="shared" ref="K19:K34" si="15">SUM(L19:N19)</f>
        <v>4897.8999999999996</v>
      </c>
      <c r="L19" s="6"/>
      <c r="M19" s="39">
        <v>4897.8999999999996</v>
      </c>
      <c r="N19" s="33"/>
      <c r="O19" s="33">
        <f t="shared" ref="O19:O34" si="16">SUM(P19:R19)</f>
        <v>1672.1</v>
      </c>
      <c r="P19" s="33">
        <f>T19</f>
        <v>0</v>
      </c>
      <c r="Q19" s="33">
        <v>1672.1</v>
      </c>
      <c r="R19" s="33"/>
      <c r="S19" s="33">
        <f t="shared" ref="S19:S29" si="17">SUM(T19:V19)</f>
        <v>1522.6</v>
      </c>
      <c r="T19" s="33"/>
      <c r="U19" s="33">
        <v>1522.6</v>
      </c>
      <c r="V19" s="6"/>
      <c r="W19" s="20">
        <f t="shared" si="3"/>
        <v>31.086792298740278</v>
      </c>
      <c r="Y19" s="66"/>
      <c r="Z19" s="66"/>
      <c r="AA19" s="43"/>
      <c r="AB19" s="43"/>
      <c r="AC19" s="43"/>
    </row>
    <row r="20" spans="1:29" ht="49.5" customHeight="1" x14ac:dyDescent="0.2">
      <c r="A20" s="24" t="s">
        <v>33</v>
      </c>
      <c r="B20" s="26" t="s">
        <v>79</v>
      </c>
      <c r="C20" s="29" t="s">
        <v>171</v>
      </c>
      <c r="D20" s="29"/>
      <c r="E20" s="29"/>
      <c r="F20" s="29" t="s">
        <v>55</v>
      </c>
      <c r="G20" s="9">
        <f t="shared" si="9"/>
        <v>138991</v>
      </c>
      <c r="H20" s="6"/>
      <c r="I20" s="9">
        <f t="shared" ref="I20:I30" si="18">M20</f>
        <v>138991</v>
      </c>
      <c r="J20" s="6">
        <v>0</v>
      </c>
      <c r="K20" s="6">
        <f t="shared" si="15"/>
        <v>138991</v>
      </c>
      <c r="L20" s="6"/>
      <c r="M20" s="39">
        <v>138991</v>
      </c>
      <c r="N20" s="33"/>
      <c r="O20" s="33">
        <f t="shared" si="16"/>
        <v>123330.7</v>
      </c>
      <c r="P20" s="33"/>
      <c r="Q20" s="33">
        <v>123330.7</v>
      </c>
      <c r="R20" s="33"/>
      <c r="S20" s="33">
        <f t="shared" si="17"/>
        <v>121338.6</v>
      </c>
      <c r="T20" s="33"/>
      <c r="U20" s="33">
        <f>123258.3-1919.7</f>
        <v>121338.6</v>
      </c>
      <c r="V20" s="6"/>
      <c r="W20" s="20">
        <f t="shared" si="3"/>
        <v>87.299609327222626</v>
      </c>
      <c r="Y20" s="46"/>
      <c r="Z20" s="46"/>
      <c r="AA20" s="43"/>
      <c r="AB20" s="43"/>
      <c r="AC20" s="43"/>
    </row>
    <row r="21" spans="1:29" ht="45" customHeight="1" x14ac:dyDescent="0.2">
      <c r="A21" s="24" t="s">
        <v>34</v>
      </c>
      <c r="B21" s="26" t="s">
        <v>103</v>
      </c>
      <c r="C21" s="29" t="s">
        <v>172</v>
      </c>
      <c r="D21" s="29"/>
      <c r="E21" s="29"/>
      <c r="F21" s="29" t="s">
        <v>54</v>
      </c>
      <c r="G21" s="9">
        <f t="shared" si="9"/>
        <v>42881</v>
      </c>
      <c r="H21" s="6"/>
      <c r="I21" s="9">
        <f t="shared" si="18"/>
        <v>42881</v>
      </c>
      <c r="J21" s="6"/>
      <c r="K21" s="6">
        <f t="shared" si="15"/>
        <v>42881</v>
      </c>
      <c r="L21" s="6"/>
      <c r="M21" s="39">
        <v>42881</v>
      </c>
      <c r="N21" s="33"/>
      <c r="O21" s="33">
        <f t="shared" si="16"/>
        <v>36866.199999999997</v>
      </c>
      <c r="P21" s="33"/>
      <c r="Q21" s="33">
        <v>36866.199999999997</v>
      </c>
      <c r="R21" s="33"/>
      <c r="S21" s="33">
        <f t="shared" si="17"/>
        <v>36866.199999999997</v>
      </c>
      <c r="T21" s="33"/>
      <c r="U21" s="33">
        <f>Q21</f>
        <v>36866.199999999997</v>
      </c>
      <c r="V21" s="6"/>
      <c r="W21" s="20">
        <f t="shared" si="3"/>
        <v>85.97327487698513</v>
      </c>
      <c r="Y21" s="46"/>
      <c r="Z21" s="46"/>
      <c r="AA21" s="43"/>
      <c r="AB21" s="43"/>
      <c r="AC21" s="43"/>
    </row>
    <row r="22" spans="1:29" ht="42.75" customHeight="1" x14ac:dyDescent="0.2">
      <c r="A22" s="24" t="s">
        <v>35</v>
      </c>
      <c r="B22" s="26" t="s">
        <v>80</v>
      </c>
      <c r="C22" s="29" t="s">
        <v>173</v>
      </c>
      <c r="D22" s="29"/>
      <c r="E22" s="29"/>
      <c r="F22" s="29" t="s">
        <v>54</v>
      </c>
      <c r="G22" s="9">
        <f t="shared" si="9"/>
        <v>4875</v>
      </c>
      <c r="H22" s="6"/>
      <c r="I22" s="9">
        <f t="shared" si="18"/>
        <v>4875</v>
      </c>
      <c r="J22" s="6"/>
      <c r="K22" s="6">
        <f t="shared" si="15"/>
        <v>4875</v>
      </c>
      <c r="L22" s="6"/>
      <c r="M22" s="39">
        <v>4875</v>
      </c>
      <c r="N22" s="33"/>
      <c r="O22" s="33">
        <f t="shared" si="16"/>
        <v>4874.3</v>
      </c>
      <c r="P22" s="33"/>
      <c r="Q22" s="33">
        <f>4874.3</f>
        <v>4874.3</v>
      </c>
      <c r="R22" s="33"/>
      <c r="S22" s="33">
        <f t="shared" si="17"/>
        <v>4874.3</v>
      </c>
      <c r="T22" s="33"/>
      <c r="U22" s="33">
        <f>Q22</f>
        <v>4874.3</v>
      </c>
      <c r="V22" s="6"/>
      <c r="W22" s="20">
        <f t="shared" si="3"/>
        <v>99.98564102564103</v>
      </c>
      <c r="Y22" s="46"/>
      <c r="Z22" s="46"/>
      <c r="AA22" s="43"/>
      <c r="AB22" s="43"/>
      <c r="AC22" s="43"/>
    </row>
    <row r="23" spans="1:29" ht="49.5" customHeight="1" x14ac:dyDescent="0.2">
      <c r="A23" s="24" t="s">
        <v>36</v>
      </c>
      <c r="B23" s="26" t="s">
        <v>98</v>
      </c>
      <c r="C23" s="29" t="s">
        <v>174</v>
      </c>
      <c r="D23" s="29"/>
      <c r="E23" s="29"/>
      <c r="F23" s="29" t="s">
        <v>54</v>
      </c>
      <c r="G23" s="9">
        <f t="shared" si="9"/>
        <v>5900</v>
      </c>
      <c r="H23" s="6"/>
      <c r="I23" s="9">
        <f t="shared" si="18"/>
        <v>5900</v>
      </c>
      <c r="J23" s="6"/>
      <c r="K23" s="6">
        <f t="shared" si="15"/>
        <v>5900</v>
      </c>
      <c r="L23" s="6"/>
      <c r="M23" s="39">
        <v>5900</v>
      </c>
      <c r="N23" s="33"/>
      <c r="O23" s="33">
        <f t="shared" si="16"/>
        <v>5892.9</v>
      </c>
      <c r="P23" s="33"/>
      <c r="Q23" s="33">
        <f>5892.9</f>
        <v>5892.9</v>
      </c>
      <c r="R23" s="33"/>
      <c r="S23" s="33">
        <f t="shared" si="17"/>
        <v>5892.9</v>
      </c>
      <c r="T23" s="33"/>
      <c r="U23" s="33">
        <f>Q23</f>
        <v>5892.9</v>
      </c>
      <c r="V23" s="6"/>
      <c r="W23" s="20">
        <f t="shared" si="3"/>
        <v>99.879661016949157</v>
      </c>
      <c r="Y23" s="46"/>
      <c r="Z23" s="46"/>
      <c r="AA23" s="43"/>
      <c r="AB23" s="43"/>
      <c r="AC23" s="43"/>
    </row>
    <row r="24" spans="1:29" ht="40.5" hidden="1" customHeight="1" x14ac:dyDescent="0.2">
      <c r="A24" s="24" t="s">
        <v>37</v>
      </c>
      <c r="B24" s="26" t="s">
        <v>96</v>
      </c>
      <c r="C24" s="29" t="s">
        <v>175</v>
      </c>
      <c r="D24" s="29"/>
      <c r="E24" s="29"/>
      <c r="F24" s="29" t="s">
        <v>54</v>
      </c>
      <c r="G24" s="9">
        <f t="shared" si="9"/>
        <v>0</v>
      </c>
      <c r="H24" s="6"/>
      <c r="I24" s="9">
        <f t="shared" si="18"/>
        <v>0</v>
      </c>
      <c r="J24" s="6"/>
      <c r="K24" s="6">
        <f t="shared" si="15"/>
        <v>0</v>
      </c>
      <c r="L24" s="6"/>
      <c r="M24" s="39"/>
      <c r="N24" s="33"/>
      <c r="O24" s="33">
        <f t="shared" si="16"/>
        <v>0</v>
      </c>
      <c r="P24" s="33">
        <f>T24</f>
        <v>0</v>
      </c>
      <c r="Q24" s="33">
        <v>0</v>
      </c>
      <c r="R24" s="33"/>
      <c r="S24" s="33">
        <f t="shared" si="17"/>
        <v>0</v>
      </c>
      <c r="T24" s="33"/>
      <c r="U24" s="33">
        <v>0</v>
      </c>
      <c r="V24" s="6"/>
      <c r="W24" s="20" t="e">
        <f t="shared" si="3"/>
        <v>#DIV/0!</v>
      </c>
      <c r="Y24" s="46"/>
      <c r="Z24" s="46"/>
      <c r="AA24" s="43"/>
      <c r="AB24" s="43"/>
      <c r="AC24" s="43"/>
    </row>
    <row r="25" spans="1:29" ht="69" customHeight="1" x14ac:dyDescent="0.2">
      <c r="A25" s="24" t="s">
        <v>38</v>
      </c>
      <c r="B25" s="26" t="s">
        <v>104</v>
      </c>
      <c r="C25" s="29" t="s">
        <v>176</v>
      </c>
      <c r="D25" s="29"/>
      <c r="E25" s="29"/>
      <c r="F25" s="29" t="s">
        <v>55</v>
      </c>
      <c r="G25" s="9">
        <f t="shared" si="9"/>
        <v>2000</v>
      </c>
      <c r="H25" s="6"/>
      <c r="I25" s="9">
        <f t="shared" si="18"/>
        <v>2000</v>
      </c>
      <c r="J25" s="6"/>
      <c r="K25" s="6">
        <f t="shared" si="15"/>
        <v>2000</v>
      </c>
      <c r="L25" s="6"/>
      <c r="M25" s="39">
        <v>2000</v>
      </c>
      <c r="N25" s="33"/>
      <c r="O25" s="33">
        <f t="shared" si="16"/>
        <v>2000</v>
      </c>
      <c r="P25" s="33">
        <f>T25</f>
        <v>0</v>
      </c>
      <c r="Q25" s="33">
        <v>2000</v>
      </c>
      <c r="R25" s="33"/>
      <c r="S25" s="33">
        <f t="shared" si="17"/>
        <v>2000</v>
      </c>
      <c r="T25" s="33"/>
      <c r="U25" s="33">
        <f>Q25</f>
        <v>2000</v>
      </c>
      <c r="V25" s="6"/>
      <c r="W25" s="20">
        <f t="shared" si="3"/>
        <v>100</v>
      </c>
      <c r="Y25" s="46"/>
      <c r="Z25" s="46"/>
      <c r="AA25" s="43"/>
      <c r="AB25" s="43"/>
      <c r="AC25" s="43"/>
    </row>
    <row r="26" spans="1:29" ht="38.25" customHeight="1" x14ac:dyDescent="0.2">
      <c r="A26" s="24" t="s">
        <v>39</v>
      </c>
      <c r="B26" s="26" t="s">
        <v>105</v>
      </c>
      <c r="C26" s="29" t="s">
        <v>257</v>
      </c>
      <c r="D26" s="29"/>
      <c r="E26" s="29"/>
      <c r="F26" s="29" t="s">
        <v>55</v>
      </c>
      <c r="G26" s="9">
        <f t="shared" si="9"/>
        <v>1500</v>
      </c>
      <c r="H26" s="6"/>
      <c r="I26" s="9">
        <f t="shared" si="18"/>
        <v>1500</v>
      </c>
      <c r="J26" s="6"/>
      <c r="K26" s="6">
        <f t="shared" si="15"/>
        <v>1500</v>
      </c>
      <c r="L26" s="6"/>
      <c r="M26" s="39">
        <v>1500</v>
      </c>
      <c r="N26" s="33"/>
      <c r="O26" s="33">
        <f t="shared" si="16"/>
        <v>1490</v>
      </c>
      <c r="P26" s="33">
        <f>T26</f>
        <v>0</v>
      </c>
      <c r="Q26" s="33">
        <v>1490</v>
      </c>
      <c r="R26" s="33"/>
      <c r="S26" s="33">
        <f t="shared" si="17"/>
        <v>1490</v>
      </c>
      <c r="T26" s="33"/>
      <c r="U26" s="33">
        <f>Q26</f>
        <v>1490</v>
      </c>
      <c r="V26" s="6"/>
      <c r="W26" s="20">
        <f t="shared" si="3"/>
        <v>99.333333333333329</v>
      </c>
      <c r="X26" s="42"/>
      <c r="Y26" s="46"/>
      <c r="Z26" s="46"/>
      <c r="AA26" s="43"/>
      <c r="AB26" s="43"/>
      <c r="AC26" s="43"/>
    </row>
    <row r="27" spans="1:29" ht="36" customHeight="1" x14ac:dyDescent="0.2">
      <c r="A27" s="24" t="s">
        <v>95</v>
      </c>
      <c r="B27" s="26" t="s">
        <v>106</v>
      </c>
      <c r="C27" s="29" t="s">
        <v>177</v>
      </c>
      <c r="D27" s="29"/>
      <c r="E27" s="29"/>
      <c r="F27" s="29" t="s">
        <v>54</v>
      </c>
      <c r="G27" s="9">
        <f t="shared" si="9"/>
        <v>9020</v>
      </c>
      <c r="H27" s="6"/>
      <c r="I27" s="9">
        <f t="shared" si="18"/>
        <v>9020</v>
      </c>
      <c r="J27" s="6"/>
      <c r="K27" s="6">
        <f t="shared" si="15"/>
        <v>9020</v>
      </c>
      <c r="L27" s="33"/>
      <c r="M27" s="39">
        <v>9020</v>
      </c>
      <c r="N27" s="33"/>
      <c r="O27" s="33">
        <f t="shared" si="16"/>
        <v>8969.7999999999993</v>
      </c>
      <c r="P27" s="33"/>
      <c r="Q27" s="33">
        <v>8969.7999999999993</v>
      </c>
      <c r="R27" s="33"/>
      <c r="S27" s="33">
        <f t="shared" si="17"/>
        <v>8969.7999999999993</v>
      </c>
      <c r="T27" s="33"/>
      <c r="U27" s="33">
        <f>Q27</f>
        <v>8969.7999999999993</v>
      </c>
      <c r="V27" s="6"/>
      <c r="W27" s="20">
        <f t="shared" si="3"/>
        <v>99.443458980044326</v>
      </c>
      <c r="X27" s="42"/>
      <c r="Y27" s="46"/>
      <c r="Z27" s="46"/>
      <c r="AA27" s="43"/>
      <c r="AB27" s="43"/>
      <c r="AC27" s="43"/>
    </row>
    <row r="28" spans="1:29" ht="39.75" customHeight="1" x14ac:dyDescent="0.2">
      <c r="A28" s="24" t="s">
        <v>40</v>
      </c>
      <c r="B28" s="26" t="s">
        <v>107</v>
      </c>
      <c r="C28" s="29" t="s">
        <v>178</v>
      </c>
      <c r="D28" s="29" t="s">
        <v>178</v>
      </c>
      <c r="E28" s="29"/>
      <c r="F28" s="29" t="s">
        <v>56</v>
      </c>
      <c r="G28" s="9">
        <f t="shared" si="9"/>
        <v>338.8</v>
      </c>
      <c r="H28" s="6">
        <f>L28</f>
        <v>311.7</v>
      </c>
      <c r="I28" s="9">
        <f t="shared" si="18"/>
        <v>27.1</v>
      </c>
      <c r="J28" s="6"/>
      <c r="K28" s="6">
        <f t="shared" si="15"/>
        <v>338.8</v>
      </c>
      <c r="L28" s="6">
        <v>311.7</v>
      </c>
      <c r="M28" s="39">
        <v>27.1</v>
      </c>
      <c r="N28" s="33"/>
      <c r="O28" s="33">
        <f t="shared" si="16"/>
        <v>338.8</v>
      </c>
      <c r="P28" s="33">
        <v>311.7</v>
      </c>
      <c r="Q28" s="33">
        <v>27.1</v>
      </c>
      <c r="R28" s="33"/>
      <c r="S28" s="33">
        <f t="shared" si="17"/>
        <v>338.8</v>
      </c>
      <c r="T28" s="33">
        <v>311.7</v>
      </c>
      <c r="U28" s="33">
        <v>27.1</v>
      </c>
      <c r="V28" s="6"/>
      <c r="W28" s="20">
        <f t="shared" si="3"/>
        <v>100</v>
      </c>
      <c r="X28" s="42"/>
      <c r="Y28" s="46"/>
      <c r="Z28" s="46"/>
      <c r="AA28" s="43"/>
      <c r="AB28" s="43"/>
      <c r="AC28" s="43"/>
    </row>
    <row r="29" spans="1:29" ht="79.5" customHeight="1" x14ac:dyDescent="0.2">
      <c r="A29" s="24" t="s">
        <v>222</v>
      </c>
      <c r="B29" s="26" t="s">
        <v>261</v>
      </c>
      <c r="C29" s="29" t="s">
        <v>223</v>
      </c>
      <c r="D29" s="29"/>
      <c r="E29" s="29"/>
      <c r="F29" s="29" t="s">
        <v>56</v>
      </c>
      <c r="G29" s="9">
        <f t="shared" si="9"/>
        <v>500</v>
      </c>
      <c r="H29" s="6"/>
      <c r="I29" s="9">
        <f t="shared" si="18"/>
        <v>500</v>
      </c>
      <c r="J29" s="6"/>
      <c r="K29" s="6">
        <f t="shared" si="15"/>
        <v>500</v>
      </c>
      <c r="L29" s="6"/>
      <c r="M29" s="39">
        <f>150+200+150</f>
        <v>500</v>
      </c>
      <c r="N29" s="33"/>
      <c r="O29" s="33">
        <f t="shared" si="16"/>
        <v>4.9000000000000004</v>
      </c>
      <c r="P29" s="33">
        <v>0</v>
      </c>
      <c r="Q29" s="33">
        <v>4.9000000000000004</v>
      </c>
      <c r="R29" s="33"/>
      <c r="S29" s="33">
        <f t="shared" si="17"/>
        <v>4.9000000000000004</v>
      </c>
      <c r="T29" s="33"/>
      <c r="U29" s="33">
        <v>4.9000000000000004</v>
      </c>
      <c r="V29" s="6"/>
      <c r="W29" s="20">
        <f t="shared" si="3"/>
        <v>0.98000000000000009</v>
      </c>
      <c r="X29" s="42"/>
      <c r="Y29" s="46"/>
      <c r="Z29" s="46"/>
      <c r="AA29" s="43"/>
      <c r="AB29" s="43"/>
      <c r="AC29" s="43"/>
    </row>
    <row r="30" spans="1:29" ht="81" hidden="1" customHeight="1" x14ac:dyDescent="0.2">
      <c r="A30" s="24" t="s">
        <v>224</v>
      </c>
      <c r="B30" s="26" t="s">
        <v>262</v>
      </c>
      <c r="C30" s="29" t="s">
        <v>225</v>
      </c>
      <c r="D30" s="29" t="s">
        <v>225</v>
      </c>
      <c r="E30" s="29"/>
      <c r="F30" s="29" t="s">
        <v>53</v>
      </c>
      <c r="G30" s="9">
        <f t="shared" si="9"/>
        <v>0</v>
      </c>
      <c r="H30" s="6"/>
      <c r="I30" s="9">
        <f t="shared" si="18"/>
        <v>0</v>
      </c>
      <c r="J30" s="6"/>
      <c r="K30" s="6">
        <f t="shared" si="15"/>
        <v>0</v>
      </c>
      <c r="L30" s="6"/>
      <c r="M30" s="39"/>
      <c r="N30" s="33"/>
      <c r="O30" s="33">
        <f t="shared" si="16"/>
        <v>0</v>
      </c>
      <c r="P30" s="33">
        <v>0</v>
      </c>
      <c r="Q30" s="33">
        <v>0</v>
      </c>
      <c r="R30" s="33"/>
      <c r="S30" s="33">
        <f t="shared" ref="S30:S35" si="19">SUM(T30:V30)</f>
        <v>0</v>
      </c>
      <c r="T30" s="33"/>
      <c r="U30" s="33">
        <v>0</v>
      </c>
      <c r="V30" s="6"/>
      <c r="W30" s="20" t="e">
        <f t="shared" si="3"/>
        <v>#DIV/0!</v>
      </c>
      <c r="X30" s="42"/>
      <c r="Y30" s="46"/>
      <c r="Z30" s="46"/>
      <c r="AA30" s="43"/>
      <c r="AB30" s="43"/>
      <c r="AC30" s="43"/>
    </row>
    <row r="31" spans="1:29" ht="21.75" customHeight="1" x14ac:dyDescent="0.2">
      <c r="A31" s="125" t="s">
        <v>226</v>
      </c>
      <c r="B31" s="115" t="s">
        <v>263</v>
      </c>
      <c r="C31" s="74"/>
      <c r="D31" s="29"/>
      <c r="E31" s="29"/>
      <c r="F31" s="29"/>
      <c r="G31" s="9">
        <f>H31+I31+J31</f>
        <v>36482.100000000006</v>
      </c>
      <c r="H31" s="6">
        <f>SUM(H32:H33)</f>
        <v>36482.100000000006</v>
      </c>
      <c r="I31" s="9">
        <f t="shared" ref="I31:J31" si="20">SUM(I32:I33)</f>
        <v>0</v>
      </c>
      <c r="J31" s="6">
        <f t="shared" si="20"/>
        <v>0</v>
      </c>
      <c r="K31" s="6">
        <f>SUM(L31:N31)</f>
        <v>36482.100000000006</v>
      </c>
      <c r="L31" s="39">
        <f>SUM(L32:L33)</f>
        <v>36482.100000000006</v>
      </c>
      <c r="M31" s="39">
        <f t="shared" ref="M31:N31" si="21">SUM(M32:M33)</f>
        <v>0</v>
      </c>
      <c r="N31" s="39">
        <f t="shared" si="21"/>
        <v>0</v>
      </c>
      <c r="O31" s="33">
        <f t="shared" si="16"/>
        <v>35717.800000000003</v>
      </c>
      <c r="P31" s="33">
        <f>SUM(P32:P33)</f>
        <v>35717.800000000003</v>
      </c>
      <c r="Q31" s="33">
        <f t="shared" ref="Q31:R31" si="22">SUM(Q32:Q33)</f>
        <v>0</v>
      </c>
      <c r="R31" s="107">
        <f t="shared" si="22"/>
        <v>0</v>
      </c>
      <c r="S31" s="33">
        <f t="shared" si="19"/>
        <v>33656.199999999997</v>
      </c>
      <c r="T31" s="33">
        <f>SUM(T32:T33)</f>
        <v>33656.199999999997</v>
      </c>
      <c r="U31" s="33">
        <f t="shared" ref="U31:V31" si="23">SUM(U32:U33)</f>
        <v>0</v>
      </c>
      <c r="V31" s="6">
        <f t="shared" si="23"/>
        <v>0</v>
      </c>
      <c r="W31" s="20">
        <f t="shared" si="3"/>
        <v>92.254009500549557</v>
      </c>
      <c r="X31" s="42"/>
      <c r="Y31" s="46"/>
      <c r="Z31" s="46"/>
      <c r="AA31" s="43"/>
      <c r="AB31" s="43"/>
      <c r="AC31" s="43"/>
    </row>
    <row r="32" spans="1:29" ht="21.75" customHeight="1" x14ac:dyDescent="0.2">
      <c r="A32" s="126"/>
      <c r="B32" s="116"/>
      <c r="C32" s="74"/>
      <c r="D32" s="29" t="s">
        <v>227</v>
      </c>
      <c r="E32" s="29"/>
      <c r="F32" s="29" t="s">
        <v>228</v>
      </c>
      <c r="G32" s="9">
        <f>H32+I32+J32</f>
        <v>35388.300000000003</v>
      </c>
      <c r="H32" s="6">
        <v>35388.300000000003</v>
      </c>
      <c r="I32" s="9"/>
      <c r="J32" s="6"/>
      <c r="K32" s="6">
        <f>SUM(L32:N32)</f>
        <v>35388.300000000003</v>
      </c>
      <c r="L32" s="39">
        <v>35388.300000000003</v>
      </c>
      <c r="M32" s="39"/>
      <c r="N32" s="33"/>
      <c r="O32" s="33">
        <f t="shared" si="16"/>
        <v>34743.9</v>
      </c>
      <c r="P32" s="33">
        <v>34743.9</v>
      </c>
      <c r="Q32" s="33"/>
      <c r="R32" s="33"/>
      <c r="S32" s="33">
        <f t="shared" si="19"/>
        <v>32682.3</v>
      </c>
      <c r="T32" s="33">
        <v>32682.3</v>
      </c>
      <c r="U32" s="33"/>
      <c r="V32" s="6"/>
      <c r="W32" s="20">
        <f t="shared" si="3"/>
        <v>92.353404938920477</v>
      </c>
      <c r="X32" s="42"/>
      <c r="Y32" s="46"/>
      <c r="Z32" s="46"/>
      <c r="AA32" s="43"/>
      <c r="AB32" s="43"/>
      <c r="AC32" s="43"/>
    </row>
    <row r="33" spans="1:29" ht="21.75" customHeight="1" x14ac:dyDescent="0.2">
      <c r="A33" s="127"/>
      <c r="B33" s="117"/>
      <c r="C33" s="74"/>
      <c r="D33" s="29" t="s">
        <v>258</v>
      </c>
      <c r="E33" s="29"/>
      <c r="F33" s="29" t="s">
        <v>54</v>
      </c>
      <c r="G33" s="9">
        <f t="shared" si="9"/>
        <v>1093.8</v>
      </c>
      <c r="H33" s="6">
        <v>1093.8</v>
      </c>
      <c r="I33" s="9"/>
      <c r="J33" s="6"/>
      <c r="K33" s="6">
        <f t="shared" si="15"/>
        <v>1093.8</v>
      </c>
      <c r="L33" s="39">
        <v>1093.8</v>
      </c>
      <c r="M33" s="39"/>
      <c r="N33" s="33"/>
      <c r="O33" s="33">
        <f t="shared" si="16"/>
        <v>973.9</v>
      </c>
      <c r="P33" s="33">
        <v>973.9</v>
      </c>
      <c r="Q33" s="33"/>
      <c r="R33" s="33"/>
      <c r="S33" s="33">
        <f t="shared" si="19"/>
        <v>973.9</v>
      </c>
      <c r="T33" s="33">
        <f>P33</f>
        <v>973.9</v>
      </c>
      <c r="U33" s="33"/>
      <c r="V33" s="6"/>
      <c r="W33" s="20">
        <f t="shared" si="3"/>
        <v>89.038215395867624</v>
      </c>
      <c r="X33" s="42"/>
      <c r="Y33" s="46"/>
      <c r="Z33" s="46"/>
      <c r="AA33" s="43"/>
      <c r="AB33" s="43"/>
      <c r="AC33" s="43"/>
    </row>
    <row r="34" spans="1:29" ht="114.75" customHeight="1" x14ac:dyDescent="0.2">
      <c r="A34" s="24" t="s">
        <v>229</v>
      </c>
      <c r="B34" s="26" t="s">
        <v>230</v>
      </c>
      <c r="C34" s="74" t="s">
        <v>231</v>
      </c>
      <c r="D34" s="29" t="s">
        <v>231</v>
      </c>
      <c r="E34" s="29"/>
      <c r="F34" s="29" t="s">
        <v>55</v>
      </c>
      <c r="G34" s="9">
        <f t="shared" si="9"/>
        <v>37129.800000000003</v>
      </c>
      <c r="H34" s="33">
        <f>L34</f>
        <v>34159.4</v>
      </c>
      <c r="I34" s="9">
        <f>M34</f>
        <v>2970.4</v>
      </c>
      <c r="J34" s="6"/>
      <c r="K34" s="6">
        <f t="shared" si="15"/>
        <v>37129.800000000003</v>
      </c>
      <c r="L34" s="6">
        <v>34159.4</v>
      </c>
      <c r="M34" s="39">
        <f>2970.4</f>
        <v>2970.4</v>
      </c>
      <c r="N34" s="33"/>
      <c r="O34" s="33">
        <f t="shared" si="16"/>
        <v>36573.5</v>
      </c>
      <c r="P34" s="33">
        <f>33647.6</f>
        <v>33647.599999999999</v>
      </c>
      <c r="Q34" s="33">
        <f>2925.9</f>
        <v>2925.9</v>
      </c>
      <c r="R34" s="33"/>
      <c r="S34" s="33">
        <f t="shared" si="19"/>
        <v>36021.599999999999</v>
      </c>
      <c r="T34" s="33">
        <f>33139.9</f>
        <v>33139.9</v>
      </c>
      <c r="U34" s="33">
        <f>2881.7</f>
        <v>2881.7</v>
      </c>
      <c r="V34" s="6"/>
      <c r="W34" s="20">
        <f t="shared" si="3"/>
        <v>97.015335390979743</v>
      </c>
      <c r="X34" s="42"/>
      <c r="Y34" s="46"/>
      <c r="Z34" s="46"/>
      <c r="AA34" s="43"/>
      <c r="AB34" s="43"/>
      <c r="AC34" s="43"/>
    </row>
    <row r="35" spans="1:29" ht="38.25" customHeight="1" x14ac:dyDescent="0.2">
      <c r="A35" s="22" t="s">
        <v>8</v>
      </c>
      <c r="B35" s="23" t="s">
        <v>108</v>
      </c>
      <c r="C35" s="30"/>
      <c r="D35" s="30"/>
      <c r="E35" s="30"/>
      <c r="F35" s="30"/>
      <c r="G35" s="13">
        <f>SUM(H35:J35)</f>
        <v>29584</v>
      </c>
      <c r="H35" s="13">
        <f>H36+H39</f>
        <v>0</v>
      </c>
      <c r="I35" s="13">
        <f t="shared" ref="I35:J35" si="24">I36+I39</f>
        <v>29584</v>
      </c>
      <c r="J35" s="13">
        <f t="shared" si="24"/>
        <v>0</v>
      </c>
      <c r="K35" s="13">
        <f>SUM(L35:N35)</f>
        <v>29584</v>
      </c>
      <c r="L35" s="13">
        <f t="shared" ref="L35:N35" si="25">L36+L39</f>
        <v>0</v>
      </c>
      <c r="M35" s="13">
        <f t="shared" si="25"/>
        <v>29584</v>
      </c>
      <c r="N35" s="13">
        <f t="shared" si="25"/>
        <v>0</v>
      </c>
      <c r="O35" s="13">
        <f>SUM(P35:R35)</f>
        <v>29083.1</v>
      </c>
      <c r="P35" s="13">
        <f t="shared" ref="P35:R35" si="26">P36+P39</f>
        <v>0</v>
      </c>
      <c r="Q35" s="13">
        <f t="shared" si="26"/>
        <v>29083.1</v>
      </c>
      <c r="R35" s="13">
        <f t="shared" si="26"/>
        <v>0</v>
      </c>
      <c r="S35" s="13">
        <f t="shared" si="19"/>
        <v>29083.1</v>
      </c>
      <c r="T35" s="13">
        <f t="shared" ref="T35:V35" si="27">T36+T39</f>
        <v>0</v>
      </c>
      <c r="U35" s="13">
        <f t="shared" si="27"/>
        <v>29083.1</v>
      </c>
      <c r="V35" s="13">
        <f t="shared" si="27"/>
        <v>0</v>
      </c>
      <c r="W35" s="20">
        <f t="shared" si="3"/>
        <v>98.306855056787455</v>
      </c>
      <c r="X35" s="42"/>
      <c r="Y35" s="46"/>
      <c r="Z35" s="46"/>
      <c r="AA35" s="43"/>
      <c r="AB35" s="43"/>
      <c r="AC35" s="43"/>
    </row>
    <row r="36" spans="1:29" ht="30" customHeight="1" x14ac:dyDescent="0.2">
      <c r="A36" s="118" t="s">
        <v>30</v>
      </c>
      <c r="B36" s="115" t="s">
        <v>109</v>
      </c>
      <c r="C36" s="29" t="s">
        <v>179</v>
      </c>
      <c r="D36" s="25"/>
      <c r="E36" s="29"/>
      <c r="F36" s="29"/>
      <c r="G36" s="63">
        <f>SUM(H36:J36)</f>
        <v>23584</v>
      </c>
      <c r="H36" s="6">
        <f>SUM(H37:H38)</f>
        <v>0</v>
      </c>
      <c r="I36" s="6">
        <f t="shared" ref="I36:J36" si="28">SUM(I37:I38)</f>
        <v>23584</v>
      </c>
      <c r="J36" s="6">
        <f t="shared" si="28"/>
        <v>0</v>
      </c>
      <c r="K36" s="6">
        <f t="shared" ref="K36:K42" si="29">SUM(L36:N36)</f>
        <v>23584</v>
      </c>
      <c r="L36" s="6">
        <f t="shared" ref="L36:N36" si="30">SUM(L37:L38)</f>
        <v>0</v>
      </c>
      <c r="M36" s="39">
        <f t="shared" si="30"/>
        <v>23584</v>
      </c>
      <c r="N36" s="33">
        <f t="shared" si="30"/>
        <v>0</v>
      </c>
      <c r="O36" s="33">
        <f t="shared" ref="O36:O42" si="31">SUM(P36:R36)</f>
        <v>23083.1</v>
      </c>
      <c r="P36" s="33">
        <f t="shared" ref="P36:R36" si="32">SUM(P37:P38)</f>
        <v>0</v>
      </c>
      <c r="Q36" s="33">
        <f t="shared" si="32"/>
        <v>23083.1</v>
      </c>
      <c r="R36" s="33">
        <f t="shared" si="32"/>
        <v>0</v>
      </c>
      <c r="S36" s="33">
        <f t="shared" ref="S36:S42" si="33">SUM(T36:V36)</f>
        <v>23083.1</v>
      </c>
      <c r="T36" s="33">
        <f t="shared" ref="T36:V36" si="34">SUM(T37:T38)</f>
        <v>0</v>
      </c>
      <c r="U36" s="33">
        <f t="shared" si="34"/>
        <v>23083.1</v>
      </c>
      <c r="V36" s="6">
        <f t="shared" si="34"/>
        <v>0</v>
      </c>
      <c r="W36" s="20">
        <f t="shared" si="3"/>
        <v>97.876102442333789</v>
      </c>
      <c r="X36" s="42"/>
      <c r="Y36" s="46"/>
      <c r="Z36" s="46"/>
      <c r="AA36" s="43"/>
      <c r="AB36" s="43"/>
      <c r="AC36" s="43"/>
    </row>
    <row r="37" spans="1:29" ht="30" customHeight="1" x14ac:dyDescent="0.2">
      <c r="A37" s="119"/>
      <c r="B37" s="116"/>
      <c r="C37" s="29" t="s">
        <v>179</v>
      </c>
      <c r="D37" s="25"/>
      <c r="E37" s="29"/>
      <c r="F37" s="29" t="s">
        <v>56</v>
      </c>
      <c r="G37" s="63">
        <f>SUM(H37:J37)</f>
        <v>19829</v>
      </c>
      <c r="H37" s="6"/>
      <c r="I37" s="9">
        <f>M37</f>
        <v>19829</v>
      </c>
      <c r="J37" s="8"/>
      <c r="K37" s="6">
        <f t="shared" si="29"/>
        <v>19829</v>
      </c>
      <c r="L37" s="6"/>
      <c r="M37" s="39">
        <v>19829</v>
      </c>
      <c r="N37" s="33"/>
      <c r="O37" s="33">
        <f t="shared" si="31"/>
        <v>19328.099999999999</v>
      </c>
      <c r="P37" s="33"/>
      <c r="Q37" s="33">
        <f>19328.1</f>
        <v>19328.099999999999</v>
      </c>
      <c r="R37" s="33"/>
      <c r="S37" s="33">
        <f t="shared" si="33"/>
        <v>19328.099999999999</v>
      </c>
      <c r="T37" s="33"/>
      <c r="U37" s="33">
        <f>Q37</f>
        <v>19328.099999999999</v>
      </c>
      <c r="V37" s="6"/>
      <c r="W37" s="20"/>
      <c r="X37" s="42"/>
      <c r="Y37" s="46"/>
      <c r="Z37" s="46"/>
      <c r="AA37" s="43"/>
      <c r="AB37" s="43"/>
      <c r="AC37" s="43"/>
    </row>
    <row r="38" spans="1:29" ht="30" customHeight="1" x14ac:dyDescent="0.2">
      <c r="A38" s="120"/>
      <c r="B38" s="117"/>
      <c r="C38" s="29" t="s">
        <v>179</v>
      </c>
      <c r="D38" s="25"/>
      <c r="E38" s="29"/>
      <c r="F38" s="29" t="s">
        <v>54</v>
      </c>
      <c r="G38" s="9">
        <f t="shared" ref="G38:G43" si="35">H38+I38+J38</f>
        <v>3755</v>
      </c>
      <c r="H38" s="6"/>
      <c r="I38" s="9">
        <f t="shared" ref="I38:I39" si="36">M38</f>
        <v>3755</v>
      </c>
      <c r="J38" s="8"/>
      <c r="K38" s="6">
        <f t="shared" si="29"/>
        <v>3755</v>
      </c>
      <c r="L38" s="6"/>
      <c r="M38" s="39">
        <v>3755</v>
      </c>
      <c r="N38" s="33"/>
      <c r="O38" s="33">
        <f t="shared" si="31"/>
        <v>3755</v>
      </c>
      <c r="P38" s="33"/>
      <c r="Q38" s="33">
        <f>3755</f>
        <v>3755</v>
      </c>
      <c r="R38" s="33"/>
      <c r="S38" s="33">
        <f t="shared" si="33"/>
        <v>3755</v>
      </c>
      <c r="T38" s="33"/>
      <c r="U38" s="33">
        <f t="shared" ref="U38:U39" si="37">Q38</f>
        <v>3755</v>
      </c>
      <c r="V38" s="6"/>
      <c r="W38" s="20">
        <f t="shared" si="3"/>
        <v>100</v>
      </c>
      <c r="X38" s="42"/>
      <c r="Y38" s="46"/>
      <c r="Z38" s="46"/>
      <c r="AA38" s="43"/>
      <c r="AB38" s="43"/>
      <c r="AC38" s="43"/>
    </row>
    <row r="39" spans="1:29" ht="52.5" customHeight="1" x14ac:dyDescent="0.2">
      <c r="A39" s="24" t="s">
        <v>81</v>
      </c>
      <c r="B39" s="26" t="s">
        <v>110</v>
      </c>
      <c r="C39" s="29" t="s">
        <v>278</v>
      </c>
      <c r="D39" s="29"/>
      <c r="E39" s="29"/>
      <c r="F39" s="29" t="s">
        <v>55</v>
      </c>
      <c r="G39" s="9">
        <f t="shared" si="35"/>
        <v>6000</v>
      </c>
      <c r="H39" s="6"/>
      <c r="I39" s="9">
        <f t="shared" si="36"/>
        <v>6000</v>
      </c>
      <c r="J39" s="8"/>
      <c r="K39" s="6">
        <f t="shared" si="29"/>
        <v>6000</v>
      </c>
      <c r="L39" s="33"/>
      <c r="M39" s="39">
        <v>6000</v>
      </c>
      <c r="N39" s="33"/>
      <c r="O39" s="33">
        <f t="shared" si="31"/>
        <v>6000</v>
      </c>
      <c r="P39" s="33">
        <f>T39</f>
        <v>0</v>
      </c>
      <c r="Q39" s="33">
        <v>6000</v>
      </c>
      <c r="R39" s="33"/>
      <c r="S39" s="33">
        <f t="shared" si="33"/>
        <v>6000</v>
      </c>
      <c r="T39" s="33"/>
      <c r="U39" s="33">
        <f t="shared" si="37"/>
        <v>6000</v>
      </c>
      <c r="V39" s="6"/>
      <c r="W39" s="20">
        <f t="shared" si="3"/>
        <v>100</v>
      </c>
      <c r="X39" s="42"/>
      <c r="Y39" s="46"/>
      <c r="Z39" s="46"/>
      <c r="AA39" s="43"/>
      <c r="AB39" s="43"/>
      <c r="AC39" s="43"/>
    </row>
    <row r="40" spans="1:29" ht="43.5" hidden="1" customHeight="1" x14ac:dyDescent="0.2">
      <c r="A40" s="24"/>
      <c r="B40" s="26"/>
      <c r="C40" s="29"/>
      <c r="D40" s="29"/>
      <c r="E40" s="29"/>
      <c r="F40" s="29"/>
      <c r="G40" s="9">
        <f t="shared" si="35"/>
        <v>0</v>
      </c>
      <c r="H40" s="6"/>
      <c r="I40" s="9"/>
      <c r="J40" s="8"/>
      <c r="K40" s="6">
        <f t="shared" si="29"/>
        <v>0</v>
      </c>
      <c r="L40" s="33"/>
      <c r="M40" s="39">
        <v>0</v>
      </c>
      <c r="N40" s="33"/>
      <c r="O40" s="33">
        <f t="shared" si="31"/>
        <v>0</v>
      </c>
      <c r="P40" s="33"/>
      <c r="Q40" s="33">
        <v>0</v>
      </c>
      <c r="R40" s="33"/>
      <c r="S40" s="33">
        <f t="shared" si="33"/>
        <v>0</v>
      </c>
      <c r="T40" s="33"/>
      <c r="U40" s="33">
        <v>0</v>
      </c>
      <c r="V40" s="6"/>
      <c r="W40" s="20" t="e">
        <f t="shared" si="3"/>
        <v>#DIV/0!</v>
      </c>
      <c r="X40" s="42"/>
      <c r="Y40" s="46"/>
      <c r="Z40" s="46"/>
      <c r="AA40" s="43"/>
      <c r="AB40" s="43"/>
      <c r="AC40" s="43"/>
    </row>
    <row r="41" spans="1:29" ht="37.5" hidden="1" customHeight="1" x14ac:dyDescent="0.2">
      <c r="A41" s="24"/>
      <c r="B41" s="25"/>
      <c r="C41" s="29"/>
      <c r="D41" s="29"/>
      <c r="E41" s="29"/>
      <c r="F41" s="29"/>
      <c r="G41" s="9">
        <f t="shared" si="35"/>
        <v>0</v>
      </c>
      <c r="H41" s="6"/>
      <c r="I41" s="9"/>
      <c r="J41" s="8"/>
      <c r="K41" s="6">
        <f t="shared" si="29"/>
        <v>0</v>
      </c>
      <c r="L41" s="6"/>
      <c r="M41" s="39"/>
      <c r="N41" s="33"/>
      <c r="O41" s="33">
        <f t="shared" si="31"/>
        <v>0</v>
      </c>
      <c r="P41" s="33"/>
      <c r="Q41" s="33"/>
      <c r="R41" s="33"/>
      <c r="S41" s="33">
        <f t="shared" si="33"/>
        <v>0</v>
      </c>
      <c r="T41" s="33"/>
      <c r="U41" s="33"/>
      <c r="V41" s="6"/>
      <c r="W41" s="20" t="e">
        <f t="shared" si="3"/>
        <v>#DIV/0!</v>
      </c>
      <c r="X41" s="42"/>
      <c r="Y41" s="46"/>
      <c r="Z41" s="46"/>
      <c r="AA41" s="43"/>
      <c r="AB41" s="43"/>
      <c r="AC41" s="43"/>
    </row>
    <row r="42" spans="1:29" ht="32.25" hidden="1" customHeight="1" x14ac:dyDescent="0.2">
      <c r="A42" s="24"/>
      <c r="B42" s="25"/>
      <c r="C42" s="29"/>
      <c r="D42" s="29"/>
      <c r="E42" s="29"/>
      <c r="F42" s="29"/>
      <c r="G42" s="9">
        <f t="shared" si="35"/>
        <v>0</v>
      </c>
      <c r="H42" s="6"/>
      <c r="I42" s="9"/>
      <c r="J42" s="8"/>
      <c r="K42" s="6">
        <f t="shared" si="29"/>
        <v>0</v>
      </c>
      <c r="L42" s="33"/>
      <c r="M42" s="39"/>
      <c r="N42" s="33"/>
      <c r="O42" s="33">
        <f t="shared" si="31"/>
        <v>0</v>
      </c>
      <c r="P42" s="33"/>
      <c r="Q42" s="33"/>
      <c r="R42" s="33"/>
      <c r="S42" s="33">
        <f t="shared" si="33"/>
        <v>0</v>
      </c>
      <c r="T42" s="33"/>
      <c r="U42" s="33"/>
      <c r="V42" s="6"/>
      <c r="W42" s="20" t="e">
        <f t="shared" si="3"/>
        <v>#DIV/0!</v>
      </c>
      <c r="X42" s="42"/>
      <c r="Y42" s="46"/>
      <c r="Z42" s="46"/>
      <c r="AA42" s="43"/>
      <c r="AB42" s="43"/>
      <c r="AC42" s="43"/>
    </row>
    <row r="43" spans="1:29" ht="40.5" customHeight="1" x14ac:dyDescent="0.2">
      <c r="A43" s="96" t="s">
        <v>11</v>
      </c>
      <c r="B43" s="97" t="s">
        <v>111</v>
      </c>
      <c r="C43" s="98"/>
      <c r="D43" s="98"/>
      <c r="E43" s="98"/>
      <c r="F43" s="98"/>
      <c r="G43" s="99">
        <f t="shared" si="35"/>
        <v>2237</v>
      </c>
      <c r="H43" s="100">
        <f>SUM(H44:H45)</f>
        <v>0</v>
      </c>
      <c r="I43" s="100">
        <f>SUM(I44:I45)</f>
        <v>2237</v>
      </c>
      <c r="J43" s="100">
        <f>SUM(J44:J45)</f>
        <v>0</v>
      </c>
      <c r="K43" s="100">
        <f>L43+M43+N43</f>
        <v>2237</v>
      </c>
      <c r="L43" s="100">
        <f>SUM(L44:L45)</f>
        <v>0</v>
      </c>
      <c r="M43" s="100">
        <f>SUM(M44:M45)</f>
        <v>2237</v>
      </c>
      <c r="N43" s="100">
        <f>SUM(N44:N45)</f>
        <v>0</v>
      </c>
      <c r="O43" s="100">
        <f>P43+Q43+R43</f>
        <v>1685.9</v>
      </c>
      <c r="P43" s="100">
        <f t="shared" ref="P43:V43" si="38">SUM(P44:P45)</f>
        <v>0</v>
      </c>
      <c r="Q43" s="100">
        <f t="shared" si="38"/>
        <v>1685.9</v>
      </c>
      <c r="R43" s="100">
        <f t="shared" si="38"/>
        <v>0</v>
      </c>
      <c r="S43" s="100">
        <f t="shared" si="38"/>
        <v>1672.1</v>
      </c>
      <c r="T43" s="100">
        <f t="shared" si="38"/>
        <v>0</v>
      </c>
      <c r="U43" s="100">
        <f t="shared" si="38"/>
        <v>1672.1</v>
      </c>
      <c r="V43" s="5">
        <f t="shared" si="38"/>
        <v>0</v>
      </c>
      <c r="W43" s="20">
        <f t="shared" si="3"/>
        <v>74.747429593205183</v>
      </c>
      <c r="X43" s="42"/>
      <c r="Y43" s="46"/>
      <c r="Z43" s="46"/>
      <c r="AA43" s="43"/>
      <c r="AB43" s="43"/>
      <c r="AC43" s="43"/>
    </row>
    <row r="44" spans="1:29" ht="60.75" customHeight="1" x14ac:dyDescent="0.2">
      <c r="A44" s="24" t="s">
        <v>31</v>
      </c>
      <c r="B44" s="26" t="s">
        <v>112</v>
      </c>
      <c r="C44" s="29" t="s">
        <v>279</v>
      </c>
      <c r="D44" s="29"/>
      <c r="E44" s="29"/>
      <c r="F44" s="29" t="s">
        <v>56</v>
      </c>
      <c r="G44" s="9">
        <f t="shared" ref="G44:G51" si="39">H44+I44+J44</f>
        <v>2237</v>
      </c>
      <c r="H44" s="6"/>
      <c r="I44" s="9">
        <f>M44</f>
        <v>2237</v>
      </c>
      <c r="J44" s="6">
        <v>0</v>
      </c>
      <c r="K44" s="6">
        <f>SUM(L44:N44)</f>
        <v>2237</v>
      </c>
      <c r="L44" s="6"/>
      <c r="M44" s="33">
        <v>2237</v>
      </c>
      <c r="N44" s="33"/>
      <c r="O44" s="33">
        <f>SUM(P44:R44)</f>
        <v>1685.9</v>
      </c>
      <c r="P44" s="65">
        <f>T44</f>
        <v>0</v>
      </c>
      <c r="Q44" s="33">
        <f>1685.9</f>
        <v>1685.9</v>
      </c>
      <c r="R44" s="33"/>
      <c r="S44" s="33">
        <f>SUM(T44:V44)</f>
        <v>1672.1</v>
      </c>
      <c r="T44" s="33"/>
      <c r="U44" s="33">
        <v>1672.1</v>
      </c>
      <c r="V44" s="33"/>
      <c r="W44" s="20">
        <f t="shared" si="3"/>
        <v>74.747429593205183</v>
      </c>
      <c r="X44" s="42"/>
      <c r="Y44" s="46"/>
      <c r="Z44" s="46"/>
      <c r="AA44" s="43"/>
      <c r="AB44" s="43"/>
      <c r="AC44" s="43"/>
    </row>
    <row r="45" spans="1:29" ht="69" hidden="1" customHeight="1" x14ac:dyDescent="0.2">
      <c r="A45" s="24"/>
      <c r="B45" s="25"/>
      <c r="C45" s="29"/>
      <c r="D45" s="29"/>
      <c r="E45" s="29"/>
      <c r="F45" s="29"/>
      <c r="G45" s="9">
        <f t="shared" si="39"/>
        <v>0</v>
      </c>
      <c r="H45" s="6"/>
      <c r="I45" s="9"/>
      <c r="J45" s="6"/>
      <c r="K45" s="6">
        <f>SUM(L45:N45)</f>
        <v>0</v>
      </c>
      <c r="L45" s="33"/>
      <c r="M45" s="39"/>
      <c r="N45" s="33"/>
      <c r="O45" s="33">
        <f>SUM(P45:R45)</f>
        <v>0</v>
      </c>
      <c r="P45" s="33"/>
      <c r="Q45" s="33"/>
      <c r="R45" s="33"/>
      <c r="S45" s="33">
        <f>SUM(T45:V45)</f>
        <v>0</v>
      </c>
      <c r="T45" s="33"/>
      <c r="U45" s="33"/>
      <c r="V45" s="33"/>
      <c r="W45" s="20" t="e">
        <f t="shared" si="3"/>
        <v>#DIV/0!</v>
      </c>
      <c r="X45" s="42"/>
      <c r="Y45" s="46"/>
      <c r="Z45" s="46"/>
      <c r="AA45" s="43"/>
      <c r="AB45" s="43"/>
      <c r="AC45" s="43"/>
    </row>
    <row r="46" spans="1:29" ht="56.25" customHeight="1" x14ac:dyDescent="0.2">
      <c r="A46" s="96" t="s">
        <v>12</v>
      </c>
      <c r="B46" s="97" t="s">
        <v>113</v>
      </c>
      <c r="C46" s="98"/>
      <c r="D46" s="98"/>
      <c r="E46" s="98"/>
      <c r="F46" s="98"/>
      <c r="G46" s="99">
        <f t="shared" si="39"/>
        <v>27041.200000000001</v>
      </c>
      <c r="H46" s="100">
        <f>H47</f>
        <v>0</v>
      </c>
      <c r="I46" s="100">
        <f>I47</f>
        <v>27041.200000000001</v>
      </c>
      <c r="J46" s="100">
        <f>J47</f>
        <v>0</v>
      </c>
      <c r="K46" s="100">
        <f>L46+M46+N46</f>
        <v>27041.200000000001</v>
      </c>
      <c r="L46" s="100">
        <f>L47</f>
        <v>0</v>
      </c>
      <c r="M46" s="100">
        <f>M47</f>
        <v>27041.200000000001</v>
      </c>
      <c r="N46" s="100">
        <f>N47</f>
        <v>0</v>
      </c>
      <c r="O46" s="100">
        <f>P46+Q46+R46</f>
        <v>26374.400000000001</v>
      </c>
      <c r="P46" s="100">
        <f t="shared" ref="P46:V46" si="40">P47</f>
        <v>0</v>
      </c>
      <c r="Q46" s="100">
        <f t="shared" si="40"/>
        <v>26374.400000000001</v>
      </c>
      <c r="R46" s="100">
        <f t="shared" si="40"/>
        <v>0</v>
      </c>
      <c r="S46" s="100">
        <f t="shared" si="40"/>
        <v>25381.200000000001</v>
      </c>
      <c r="T46" s="100">
        <f t="shared" si="40"/>
        <v>0</v>
      </c>
      <c r="U46" s="100">
        <f t="shared" si="40"/>
        <v>25381.200000000001</v>
      </c>
      <c r="V46" s="5">
        <f t="shared" si="40"/>
        <v>0</v>
      </c>
      <c r="W46" s="20">
        <f t="shared" si="3"/>
        <v>93.861219176663752</v>
      </c>
      <c r="X46" s="42"/>
      <c r="Y46" s="68"/>
      <c r="Z46" s="69"/>
      <c r="AA46" s="67"/>
      <c r="AB46" s="43"/>
      <c r="AC46" s="43"/>
    </row>
    <row r="47" spans="1:29" ht="130.5" customHeight="1" x14ac:dyDescent="0.2">
      <c r="A47" s="24" t="s">
        <v>41</v>
      </c>
      <c r="B47" s="26" t="s">
        <v>280</v>
      </c>
      <c r="C47" s="29" t="s">
        <v>180</v>
      </c>
      <c r="D47" s="29"/>
      <c r="E47" s="29"/>
      <c r="F47" s="29" t="s">
        <v>52</v>
      </c>
      <c r="G47" s="9">
        <f t="shared" si="39"/>
        <v>27041.200000000001</v>
      </c>
      <c r="H47" s="6"/>
      <c r="I47" s="6">
        <f>M47</f>
        <v>27041.200000000001</v>
      </c>
      <c r="J47" s="6"/>
      <c r="K47" s="6">
        <f>SUM(L47:N47)</f>
        <v>27041.200000000001</v>
      </c>
      <c r="L47" s="6"/>
      <c r="M47" s="33">
        <v>27041.200000000001</v>
      </c>
      <c r="N47" s="33"/>
      <c r="O47" s="33">
        <f>SUM(P47:R47)</f>
        <v>26374.400000000001</v>
      </c>
      <c r="P47" s="33"/>
      <c r="Q47" s="33">
        <f>26374.4</f>
        <v>26374.400000000001</v>
      </c>
      <c r="R47" s="33"/>
      <c r="S47" s="33">
        <f>SUM(T47:V47)</f>
        <v>25381.200000000001</v>
      </c>
      <c r="T47" s="33"/>
      <c r="U47" s="33">
        <v>25381.200000000001</v>
      </c>
      <c r="V47" s="33"/>
      <c r="W47" s="20">
        <f t="shared" si="3"/>
        <v>93.861219176663752</v>
      </c>
      <c r="X47" s="42"/>
      <c r="Y47" s="68"/>
      <c r="Z47" s="68"/>
      <c r="AA47" s="67"/>
      <c r="AB47" s="43"/>
      <c r="AC47" s="43"/>
    </row>
    <row r="48" spans="1:29" ht="42.75" customHeight="1" x14ac:dyDescent="0.2">
      <c r="A48" s="96" t="s">
        <v>14</v>
      </c>
      <c r="B48" s="97" t="s">
        <v>13</v>
      </c>
      <c r="C48" s="98"/>
      <c r="D48" s="98"/>
      <c r="E48" s="98"/>
      <c r="F48" s="98"/>
      <c r="G48" s="99">
        <f t="shared" si="39"/>
        <v>5375</v>
      </c>
      <c r="H48" s="100">
        <f>SUM(H49:H51)</f>
        <v>0</v>
      </c>
      <c r="I48" s="100">
        <f>SUM(I49:I51)</f>
        <v>5375</v>
      </c>
      <c r="J48" s="100">
        <f>SUM(J49:J51)</f>
        <v>0</v>
      </c>
      <c r="K48" s="100">
        <f>L48+M48+N48</f>
        <v>5375</v>
      </c>
      <c r="L48" s="100">
        <f>SUM(L49:L51)</f>
        <v>0</v>
      </c>
      <c r="M48" s="100">
        <f>SUM(M49:M51)</f>
        <v>5375</v>
      </c>
      <c r="N48" s="100">
        <f>SUM(N49:N51)</f>
        <v>0</v>
      </c>
      <c r="O48" s="100">
        <f>P48+Q48+R48</f>
        <v>1873.4</v>
      </c>
      <c r="P48" s="100">
        <f>SUM(P49:P51)</f>
        <v>0</v>
      </c>
      <c r="Q48" s="100">
        <f>SUM(Q49:Q51)</f>
        <v>1873.4</v>
      </c>
      <c r="R48" s="100">
        <f>SUM(R49:R51)</f>
        <v>0</v>
      </c>
      <c r="S48" s="100">
        <f>T48+U48+V48</f>
        <v>1873.4</v>
      </c>
      <c r="T48" s="100">
        <f>SUM(T49:T51)</f>
        <v>0</v>
      </c>
      <c r="U48" s="100">
        <f>SUM(U49:U51)</f>
        <v>1873.4</v>
      </c>
      <c r="V48" s="5">
        <f>SUM(V49:V51)</f>
        <v>0</v>
      </c>
      <c r="W48" s="20">
        <f t="shared" si="3"/>
        <v>34.853953488372092</v>
      </c>
      <c r="X48" s="42"/>
      <c r="Y48" s="46"/>
      <c r="Z48" s="46"/>
      <c r="AA48" s="43"/>
      <c r="AB48" s="43"/>
      <c r="AC48" s="43"/>
    </row>
    <row r="49" spans="1:29" ht="69.75" customHeight="1" x14ac:dyDescent="0.2">
      <c r="A49" s="41" t="s">
        <v>42</v>
      </c>
      <c r="B49" s="83" t="s">
        <v>82</v>
      </c>
      <c r="C49" s="29" t="s">
        <v>181</v>
      </c>
      <c r="D49" s="29"/>
      <c r="E49" s="29"/>
      <c r="F49" s="29" t="s">
        <v>169</v>
      </c>
      <c r="G49" s="9">
        <f t="shared" si="39"/>
        <v>300</v>
      </c>
      <c r="H49" s="6">
        <v>0</v>
      </c>
      <c r="I49" s="9">
        <f>M49</f>
        <v>300</v>
      </c>
      <c r="J49" s="6">
        <v>0</v>
      </c>
      <c r="K49" s="6">
        <f>SUM(L49:N49)</f>
        <v>300</v>
      </c>
      <c r="L49" s="6"/>
      <c r="M49" s="39">
        <v>300</v>
      </c>
      <c r="N49" s="6"/>
      <c r="O49" s="6">
        <f>SUM(P49:R49)</f>
        <v>0</v>
      </c>
      <c r="P49" s="33"/>
      <c r="Q49" s="33">
        <v>0</v>
      </c>
      <c r="R49" s="33"/>
      <c r="S49" s="33">
        <f>SUM(T49:V49)</f>
        <v>0</v>
      </c>
      <c r="T49" s="33"/>
      <c r="U49" s="33">
        <f>Q49</f>
        <v>0</v>
      </c>
      <c r="V49" s="6"/>
      <c r="W49" s="20">
        <f t="shared" si="3"/>
        <v>0</v>
      </c>
      <c r="X49" s="42"/>
      <c r="Y49" s="46"/>
      <c r="Z49" s="46"/>
      <c r="AA49" s="43"/>
      <c r="AB49" s="43"/>
      <c r="AC49" s="43"/>
    </row>
    <row r="50" spans="1:29" ht="54" customHeight="1" x14ac:dyDescent="0.2">
      <c r="A50" s="24" t="s">
        <v>43</v>
      </c>
      <c r="B50" s="26" t="s">
        <v>85</v>
      </c>
      <c r="C50" s="29" t="s">
        <v>182</v>
      </c>
      <c r="D50" s="29"/>
      <c r="E50" s="29"/>
      <c r="F50" s="29" t="s">
        <v>54</v>
      </c>
      <c r="G50" s="9">
        <f t="shared" si="39"/>
        <v>315</v>
      </c>
      <c r="H50" s="6">
        <v>0</v>
      </c>
      <c r="I50" s="9">
        <f t="shared" ref="I50:I51" si="41">M50</f>
        <v>315</v>
      </c>
      <c r="J50" s="6">
        <v>0</v>
      </c>
      <c r="K50" s="6">
        <f>SUM(L50:N50)</f>
        <v>315</v>
      </c>
      <c r="L50" s="6"/>
      <c r="M50" s="33">
        <v>315</v>
      </c>
      <c r="N50" s="6"/>
      <c r="O50" s="6">
        <f>SUM(P50:R50)</f>
        <v>0</v>
      </c>
      <c r="P50" s="33"/>
      <c r="Q50" s="33">
        <v>0</v>
      </c>
      <c r="R50" s="33"/>
      <c r="S50" s="33">
        <f>SUM(T50:V50)</f>
        <v>0</v>
      </c>
      <c r="T50" s="33"/>
      <c r="U50" s="33">
        <v>0</v>
      </c>
      <c r="V50" s="6"/>
      <c r="W50" s="20">
        <f t="shared" si="3"/>
        <v>0</v>
      </c>
      <c r="X50" s="42"/>
      <c r="Y50" s="46"/>
      <c r="Z50" s="46"/>
      <c r="AA50" s="43"/>
      <c r="AB50" s="43"/>
      <c r="AC50" s="43"/>
    </row>
    <row r="51" spans="1:29" ht="54" customHeight="1" x14ac:dyDescent="0.2">
      <c r="A51" s="24" t="s">
        <v>83</v>
      </c>
      <c r="B51" s="26" t="s">
        <v>84</v>
      </c>
      <c r="C51" s="29" t="s">
        <v>183</v>
      </c>
      <c r="D51" s="29"/>
      <c r="E51" s="29"/>
      <c r="F51" s="29" t="s">
        <v>54</v>
      </c>
      <c r="G51" s="9">
        <f t="shared" si="39"/>
        <v>4760</v>
      </c>
      <c r="H51" s="6"/>
      <c r="I51" s="9">
        <f t="shared" si="41"/>
        <v>4760</v>
      </c>
      <c r="J51" s="6"/>
      <c r="K51" s="6">
        <f>SUM(L51:N51)</f>
        <v>4760</v>
      </c>
      <c r="L51" s="6"/>
      <c r="M51" s="33">
        <v>4760</v>
      </c>
      <c r="N51" s="6"/>
      <c r="O51" s="6">
        <f>SUM(P51:R51)</f>
        <v>1873.4</v>
      </c>
      <c r="P51" s="33"/>
      <c r="Q51" s="33">
        <f>1873.4</f>
        <v>1873.4</v>
      </c>
      <c r="R51" s="33"/>
      <c r="S51" s="33">
        <f>SUM(T51:V51)</f>
        <v>1873.4</v>
      </c>
      <c r="T51" s="33"/>
      <c r="U51" s="33">
        <f>Q51</f>
        <v>1873.4</v>
      </c>
      <c r="V51" s="6"/>
      <c r="W51" s="20">
        <f t="shared" si="3"/>
        <v>39.357142857142854</v>
      </c>
      <c r="X51" s="42"/>
      <c r="Y51" s="46"/>
      <c r="Z51" s="46"/>
      <c r="AA51" s="43"/>
      <c r="AB51" s="43"/>
      <c r="AC51" s="43"/>
    </row>
    <row r="52" spans="1:29" ht="39" customHeight="1" x14ac:dyDescent="0.2">
      <c r="A52" s="96" t="s">
        <v>15</v>
      </c>
      <c r="B52" s="97" t="s">
        <v>115</v>
      </c>
      <c r="C52" s="98"/>
      <c r="D52" s="98"/>
      <c r="E52" s="98"/>
      <c r="F52" s="98"/>
      <c r="G52" s="99">
        <f>H52+I52+J52</f>
        <v>100</v>
      </c>
      <c r="H52" s="100">
        <f>SUM(H53:H54)</f>
        <v>0</v>
      </c>
      <c r="I52" s="100">
        <f>SUM(I53:I54)</f>
        <v>100</v>
      </c>
      <c r="J52" s="100">
        <f>SUM(J53:J54)</f>
        <v>0</v>
      </c>
      <c r="K52" s="100">
        <f>L52+M52+N52</f>
        <v>100</v>
      </c>
      <c r="L52" s="100">
        <f t="shared" ref="L52:V52" si="42">SUM(L53:L54)</f>
        <v>0</v>
      </c>
      <c r="M52" s="100">
        <f t="shared" si="42"/>
        <v>100</v>
      </c>
      <c r="N52" s="100">
        <f t="shared" si="42"/>
        <v>0</v>
      </c>
      <c r="O52" s="100">
        <f>P52+Q52+R52</f>
        <v>0</v>
      </c>
      <c r="P52" s="100">
        <f t="shared" si="42"/>
        <v>0</v>
      </c>
      <c r="Q52" s="100">
        <f t="shared" si="42"/>
        <v>0</v>
      </c>
      <c r="R52" s="100">
        <f t="shared" si="42"/>
        <v>0</v>
      </c>
      <c r="S52" s="100">
        <f>T52+U52+V52</f>
        <v>0</v>
      </c>
      <c r="T52" s="100">
        <f t="shared" si="42"/>
        <v>0</v>
      </c>
      <c r="U52" s="100">
        <f t="shared" si="42"/>
        <v>0</v>
      </c>
      <c r="V52" s="5">
        <f t="shared" si="42"/>
        <v>0</v>
      </c>
      <c r="W52" s="20">
        <f t="shared" si="3"/>
        <v>0</v>
      </c>
      <c r="X52" s="42"/>
      <c r="Y52" s="46"/>
      <c r="Z52" s="46"/>
      <c r="AA52" s="43"/>
      <c r="AB52" s="43"/>
      <c r="AC52" s="43"/>
    </row>
    <row r="53" spans="1:29" ht="35.25" customHeight="1" x14ac:dyDescent="0.2">
      <c r="A53" s="118" t="s">
        <v>28</v>
      </c>
      <c r="B53" s="115" t="s">
        <v>114</v>
      </c>
      <c r="C53" s="29" t="s">
        <v>184</v>
      </c>
      <c r="D53" s="29"/>
      <c r="E53" s="29"/>
      <c r="F53" s="29" t="s">
        <v>56</v>
      </c>
      <c r="G53" s="9">
        <f t="shared" ref="G53:G58" si="43">H53+I53+J53</f>
        <v>100</v>
      </c>
      <c r="H53" s="6">
        <v>0</v>
      </c>
      <c r="I53" s="6">
        <v>100</v>
      </c>
      <c r="J53" s="6">
        <v>0</v>
      </c>
      <c r="K53" s="6">
        <f>SUM(L53:N53)</f>
        <v>100</v>
      </c>
      <c r="L53" s="6"/>
      <c r="M53" s="33">
        <v>100</v>
      </c>
      <c r="N53" s="33"/>
      <c r="O53" s="33">
        <f>SUM(P53:R53)</f>
        <v>0</v>
      </c>
      <c r="P53" s="33"/>
      <c r="Q53" s="33">
        <v>0</v>
      </c>
      <c r="R53" s="33"/>
      <c r="S53" s="33">
        <f>SUM(T53:V53)</f>
        <v>0</v>
      </c>
      <c r="T53" s="33"/>
      <c r="U53" s="33">
        <v>0</v>
      </c>
      <c r="V53" s="33"/>
      <c r="W53" s="20">
        <f t="shared" si="3"/>
        <v>0</v>
      </c>
      <c r="X53" s="42"/>
      <c r="Y53" s="46"/>
      <c r="Z53" s="46"/>
      <c r="AA53" s="43"/>
      <c r="AB53" s="43"/>
      <c r="AC53" s="43"/>
    </row>
    <row r="54" spans="1:29" ht="19.5" hidden="1" customHeight="1" x14ac:dyDescent="0.2">
      <c r="A54" s="120"/>
      <c r="B54" s="117"/>
      <c r="C54" s="29" t="s">
        <v>184</v>
      </c>
      <c r="D54" s="29"/>
      <c r="E54" s="29"/>
      <c r="F54" s="29" t="s">
        <v>63</v>
      </c>
      <c r="G54" s="9">
        <f t="shared" si="43"/>
        <v>0</v>
      </c>
      <c r="H54" s="6"/>
      <c r="I54" s="6"/>
      <c r="J54" s="6"/>
      <c r="K54" s="6">
        <f>SUM(L54:N54)</f>
        <v>0</v>
      </c>
      <c r="L54" s="6"/>
      <c r="M54" s="33"/>
      <c r="N54" s="33"/>
      <c r="O54" s="33">
        <f>SUM(P54:R54)</f>
        <v>0</v>
      </c>
      <c r="P54" s="33"/>
      <c r="Q54" s="33">
        <f>U54</f>
        <v>0</v>
      </c>
      <c r="R54" s="33"/>
      <c r="S54" s="33">
        <f>SUM(T54:V54)</f>
        <v>0</v>
      </c>
      <c r="T54" s="33"/>
      <c r="U54" s="33">
        <v>0</v>
      </c>
      <c r="V54" s="33"/>
      <c r="W54" s="20" t="e">
        <f t="shared" si="3"/>
        <v>#DIV/0!</v>
      </c>
      <c r="X54" s="42"/>
      <c r="Y54" s="46"/>
      <c r="Z54" s="46"/>
      <c r="AA54" s="43"/>
      <c r="AB54" s="43"/>
      <c r="AC54" s="43"/>
    </row>
    <row r="55" spans="1:29" ht="45.75" customHeight="1" x14ac:dyDescent="0.2">
      <c r="A55" s="96" t="s">
        <v>59</v>
      </c>
      <c r="B55" s="97" t="s">
        <v>58</v>
      </c>
      <c r="C55" s="98"/>
      <c r="D55" s="98"/>
      <c r="E55" s="98"/>
      <c r="F55" s="98"/>
      <c r="G55" s="99">
        <f t="shared" si="43"/>
        <v>96190</v>
      </c>
      <c r="H55" s="100">
        <f>SUM(H56:H58)</f>
        <v>0</v>
      </c>
      <c r="I55" s="100">
        <f>SUM(I56:I58)</f>
        <v>96190</v>
      </c>
      <c r="J55" s="100">
        <f>SUM(J56:J58)</f>
        <v>0</v>
      </c>
      <c r="K55" s="100">
        <f t="shared" ref="K55:K61" si="44">L55+M55+N55</f>
        <v>96190</v>
      </c>
      <c r="L55" s="100">
        <f>SUM(L56:L58)</f>
        <v>0</v>
      </c>
      <c r="M55" s="100">
        <f>SUM(M56:M58)</f>
        <v>96190</v>
      </c>
      <c r="N55" s="100">
        <f>SUM(N56:N58)</f>
        <v>0</v>
      </c>
      <c r="O55" s="100">
        <f>P55+Q55+R55</f>
        <v>93038.6</v>
      </c>
      <c r="P55" s="100">
        <f>SUM(P56:P58)</f>
        <v>0</v>
      </c>
      <c r="Q55" s="100">
        <f>SUM(Q56:Q58)</f>
        <v>93038.6</v>
      </c>
      <c r="R55" s="100">
        <f>SUM(R56:R58)</f>
        <v>0</v>
      </c>
      <c r="S55" s="100">
        <f>T55+U55+V55</f>
        <v>92318.7</v>
      </c>
      <c r="T55" s="100">
        <f>SUM(T56:T58)</f>
        <v>0</v>
      </c>
      <c r="U55" s="100">
        <f>SUM(U56:U58)</f>
        <v>92318.7</v>
      </c>
      <c r="V55" s="5">
        <f>SUM(V56:V58)</f>
        <v>0</v>
      </c>
      <c r="W55" s="20">
        <f t="shared" si="3"/>
        <v>95.975361264164675</v>
      </c>
      <c r="X55" s="42"/>
      <c r="Y55" s="68"/>
      <c r="Z55" s="46"/>
      <c r="AA55" s="43"/>
      <c r="AB55" s="43"/>
      <c r="AC55" s="43"/>
    </row>
    <row r="56" spans="1:29" ht="55.5" customHeight="1" x14ac:dyDescent="0.2">
      <c r="A56" s="24" t="s">
        <v>60</v>
      </c>
      <c r="B56" s="26" t="s">
        <v>86</v>
      </c>
      <c r="C56" s="29" t="s">
        <v>185</v>
      </c>
      <c r="D56" s="29"/>
      <c r="E56" s="29"/>
      <c r="F56" s="29" t="s">
        <v>55</v>
      </c>
      <c r="G56" s="9">
        <f t="shared" si="43"/>
        <v>39690</v>
      </c>
      <c r="H56" s="6">
        <v>0</v>
      </c>
      <c r="I56" s="9">
        <f>M56</f>
        <v>39690</v>
      </c>
      <c r="J56" s="6">
        <v>0</v>
      </c>
      <c r="K56" s="6">
        <f t="shared" si="44"/>
        <v>39690</v>
      </c>
      <c r="L56" s="6"/>
      <c r="M56" s="33">
        <v>39690</v>
      </c>
      <c r="N56" s="33"/>
      <c r="O56" s="33">
        <f>P56+Q56+R56</f>
        <v>36538.6</v>
      </c>
      <c r="P56" s="33"/>
      <c r="Q56" s="33">
        <f>36538.6</f>
        <v>36538.6</v>
      </c>
      <c r="R56" s="33"/>
      <c r="S56" s="33">
        <f>T56+U56+V56</f>
        <v>36538.6</v>
      </c>
      <c r="T56" s="33"/>
      <c r="U56" s="33">
        <f>Q56</f>
        <v>36538.6</v>
      </c>
      <c r="V56" s="33"/>
      <c r="W56" s="20">
        <f t="shared" si="3"/>
        <v>92.059964726631392</v>
      </c>
      <c r="X56" s="42"/>
      <c r="Y56" s="46"/>
      <c r="Z56" s="46"/>
      <c r="AA56" s="43"/>
      <c r="AB56" s="43"/>
      <c r="AC56" s="56"/>
    </row>
    <row r="57" spans="1:29" ht="54.75" hidden="1" customHeight="1" x14ac:dyDescent="0.2">
      <c r="A57" s="24" t="s">
        <v>61</v>
      </c>
      <c r="B57" s="26" t="s">
        <v>116</v>
      </c>
      <c r="C57" s="29" t="s">
        <v>186</v>
      </c>
      <c r="D57" s="29"/>
      <c r="E57" s="29"/>
      <c r="F57" s="29" t="s">
        <v>233</v>
      </c>
      <c r="G57" s="9">
        <f t="shared" si="43"/>
        <v>0</v>
      </c>
      <c r="H57" s="6">
        <v>0</v>
      </c>
      <c r="I57" s="9">
        <f t="shared" ref="I57:I58" si="45">M57</f>
        <v>0</v>
      </c>
      <c r="J57" s="6">
        <v>0</v>
      </c>
      <c r="K57" s="6">
        <f t="shared" si="44"/>
        <v>0</v>
      </c>
      <c r="L57" s="6"/>
      <c r="M57" s="33">
        <v>0</v>
      </c>
      <c r="N57" s="33"/>
      <c r="O57" s="33">
        <f>P57+Q57+R57</f>
        <v>0</v>
      </c>
      <c r="P57" s="33"/>
      <c r="Q57" s="33">
        <v>0</v>
      </c>
      <c r="R57" s="33"/>
      <c r="S57" s="33">
        <f>T57+U57+V57</f>
        <v>0</v>
      </c>
      <c r="T57" s="33"/>
      <c r="U57" s="33">
        <v>0</v>
      </c>
      <c r="V57" s="33"/>
      <c r="W57" s="20" t="e">
        <f t="shared" si="3"/>
        <v>#DIV/0!</v>
      </c>
      <c r="X57" s="42"/>
      <c r="Y57" s="68"/>
      <c r="Z57" s="68"/>
      <c r="AA57" s="43"/>
      <c r="AB57" s="43"/>
      <c r="AC57" s="43"/>
    </row>
    <row r="58" spans="1:29" ht="41.25" customHeight="1" x14ac:dyDescent="0.2">
      <c r="A58" s="24" t="s">
        <v>62</v>
      </c>
      <c r="B58" s="26" t="s">
        <v>117</v>
      </c>
      <c r="C58" s="29" t="s">
        <v>187</v>
      </c>
      <c r="D58" s="29"/>
      <c r="E58" s="29"/>
      <c r="F58" s="29" t="s">
        <v>233</v>
      </c>
      <c r="G58" s="9">
        <f t="shared" si="43"/>
        <v>56500</v>
      </c>
      <c r="H58" s="6"/>
      <c r="I58" s="9">
        <f t="shared" si="45"/>
        <v>56500</v>
      </c>
      <c r="J58" s="6">
        <v>0</v>
      </c>
      <c r="K58" s="6">
        <f t="shared" si="44"/>
        <v>56500</v>
      </c>
      <c r="L58" s="6"/>
      <c r="M58" s="33">
        <v>56500</v>
      </c>
      <c r="N58" s="33"/>
      <c r="O58" s="33">
        <f>P58+Q58+R58</f>
        <v>56500</v>
      </c>
      <c r="P58" s="33">
        <f>T58</f>
        <v>0</v>
      </c>
      <c r="Q58" s="33">
        <v>56500</v>
      </c>
      <c r="R58" s="33"/>
      <c r="S58" s="33">
        <f>T58+U58+V58</f>
        <v>55780.1</v>
      </c>
      <c r="T58" s="33"/>
      <c r="U58" s="33">
        <v>55780.1</v>
      </c>
      <c r="V58" s="33"/>
      <c r="W58" s="20">
        <f t="shared" si="3"/>
        <v>98.725840707964608</v>
      </c>
      <c r="X58" s="42"/>
      <c r="Y58" s="46"/>
      <c r="Z58" s="46"/>
      <c r="AA58" s="43"/>
      <c r="AB58" s="43"/>
      <c r="AC58" s="43"/>
    </row>
    <row r="59" spans="1:29" ht="48.75" customHeight="1" x14ac:dyDescent="0.2">
      <c r="A59" s="96" t="s">
        <v>93</v>
      </c>
      <c r="B59" s="97" t="s">
        <v>92</v>
      </c>
      <c r="C59" s="98"/>
      <c r="D59" s="98"/>
      <c r="E59" s="98"/>
      <c r="F59" s="98"/>
      <c r="G59" s="99">
        <f>H59+I59+J59</f>
        <v>1400</v>
      </c>
      <c r="H59" s="100">
        <f>H60</f>
        <v>0</v>
      </c>
      <c r="I59" s="100">
        <f>I60</f>
        <v>1400</v>
      </c>
      <c r="J59" s="100">
        <f>J60</f>
        <v>0</v>
      </c>
      <c r="K59" s="100">
        <f>L59+M59+N59</f>
        <v>1400</v>
      </c>
      <c r="L59" s="100">
        <f>L60</f>
        <v>0</v>
      </c>
      <c r="M59" s="100">
        <f>M60</f>
        <v>1400</v>
      </c>
      <c r="N59" s="100">
        <f>N60</f>
        <v>0</v>
      </c>
      <c r="O59" s="100">
        <f>P59+Q59+R59</f>
        <v>1386.8</v>
      </c>
      <c r="P59" s="100">
        <f>P60</f>
        <v>0</v>
      </c>
      <c r="Q59" s="100">
        <f>Q60</f>
        <v>1386.8</v>
      </c>
      <c r="R59" s="100">
        <f>R60</f>
        <v>0</v>
      </c>
      <c r="S59" s="100">
        <f>T59+U59+V59</f>
        <v>1386.8</v>
      </c>
      <c r="T59" s="100">
        <f>T60</f>
        <v>0</v>
      </c>
      <c r="U59" s="100">
        <f>U60</f>
        <v>1386.8</v>
      </c>
      <c r="V59" s="5">
        <f>V60</f>
        <v>0</v>
      </c>
      <c r="W59" s="20">
        <f t="shared" si="3"/>
        <v>99.057142857142864</v>
      </c>
      <c r="X59" s="42"/>
      <c r="Y59" s="46"/>
      <c r="Z59" s="46"/>
      <c r="AA59" s="43"/>
      <c r="AB59" s="43"/>
      <c r="AC59" s="43"/>
    </row>
    <row r="60" spans="1:29" ht="48.75" customHeight="1" x14ac:dyDescent="0.2">
      <c r="A60" s="24" t="s">
        <v>94</v>
      </c>
      <c r="B60" s="26" t="s">
        <v>294</v>
      </c>
      <c r="C60" s="29" t="s">
        <v>188</v>
      </c>
      <c r="D60" s="29"/>
      <c r="E60" s="29"/>
      <c r="F60" s="29" t="s">
        <v>54</v>
      </c>
      <c r="G60" s="9">
        <f>H60+I60+J60</f>
        <v>1400</v>
      </c>
      <c r="H60" s="6">
        <v>0</v>
      </c>
      <c r="I60" s="6">
        <v>1400</v>
      </c>
      <c r="J60" s="6">
        <v>0</v>
      </c>
      <c r="K60" s="6">
        <f>SUM(L60:N60)</f>
        <v>1400</v>
      </c>
      <c r="L60" s="6"/>
      <c r="M60" s="33">
        <v>1400</v>
      </c>
      <c r="N60" s="6"/>
      <c r="O60" s="6">
        <f>SUM(P60:R60)</f>
        <v>1386.8</v>
      </c>
      <c r="P60" s="33"/>
      <c r="Q60" s="33">
        <f>1386.8</f>
        <v>1386.8</v>
      </c>
      <c r="R60" s="33"/>
      <c r="S60" s="33">
        <f>SUM(T60:V60)</f>
        <v>1386.8</v>
      </c>
      <c r="T60" s="33"/>
      <c r="U60" s="33">
        <f>Q60</f>
        <v>1386.8</v>
      </c>
      <c r="V60" s="33"/>
      <c r="W60" s="20">
        <f t="shared" si="3"/>
        <v>99.057142857142864</v>
      </c>
      <c r="X60" s="42"/>
      <c r="Y60" s="46"/>
      <c r="Z60" s="46"/>
      <c r="AA60" s="43"/>
      <c r="AB60" s="43"/>
      <c r="AC60" s="43"/>
    </row>
    <row r="61" spans="1:29" ht="55.5" customHeight="1" x14ac:dyDescent="0.2">
      <c r="A61" s="96" t="s">
        <v>118</v>
      </c>
      <c r="B61" s="97" t="s">
        <v>119</v>
      </c>
      <c r="C61" s="98"/>
      <c r="D61" s="98"/>
      <c r="E61" s="98"/>
      <c r="F61" s="98"/>
      <c r="G61" s="99">
        <f>H61+I61+J61</f>
        <v>19805.7</v>
      </c>
      <c r="H61" s="100">
        <f>SUM(H62:H64)</f>
        <v>18221.2</v>
      </c>
      <c r="I61" s="100">
        <f>SUM(I62:I64)</f>
        <v>1584.5</v>
      </c>
      <c r="J61" s="100">
        <f>SUM(J62:J64)</f>
        <v>0</v>
      </c>
      <c r="K61" s="100">
        <f t="shared" si="44"/>
        <v>19805.7</v>
      </c>
      <c r="L61" s="100">
        <f>SUM(L62:L64)</f>
        <v>18221.2</v>
      </c>
      <c r="M61" s="100">
        <f>SUM(M62:M64)</f>
        <v>1584.5</v>
      </c>
      <c r="N61" s="100">
        <f>SUM(N62:N64)</f>
        <v>0</v>
      </c>
      <c r="O61" s="100">
        <f>P61+Q61+R61</f>
        <v>19805.7</v>
      </c>
      <c r="P61" s="100">
        <f>SUM(P62:P64)</f>
        <v>18221.2</v>
      </c>
      <c r="Q61" s="100">
        <f>SUM(Q62:Q64)</f>
        <v>1584.5</v>
      </c>
      <c r="R61" s="100">
        <f>SUM(R62:R64)</f>
        <v>0</v>
      </c>
      <c r="S61" s="100">
        <f>T61+U61+V61</f>
        <v>19805.7</v>
      </c>
      <c r="T61" s="100">
        <f>SUM(T62:T64)</f>
        <v>18221.2</v>
      </c>
      <c r="U61" s="100">
        <f>SUM(U62:U64)</f>
        <v>1584.5</v>
      </c>
      <c r="V61" s="5">
        <f>SUM(V62:V64)</f>
        <v>0</v>
      </c>
      <c r="W61" s="20">
        <f t="shared" si="3"/>
        <v>100</v>
      </c>
      <c r="X61" s="42"/>
      <c r="Y61" s="46"/>
      <c r="Z61" s="46"/>
      <c r="AA61" s="43"/>
      <c r="AB61" s="43"/>
      <c r="AC61" s="43"/>
    </row>
    <row r="62" spans="1:29" ht="68.25" customHeight="1" x14ac:dyDescent="0.2">
      <c r="A62" s="24" t="s">
        <v>120</v>
      </c>
      <c r="B62" s="26" t="s">
        <v>285</v>
      </c>
      <c r="C62" s="29" t="s">
        <v>189</v>
      </c>
      <c r="D62" s="29" t="s">
        <v>189</v>
      </c>
      <c r="E62" s="29"/>
      <c r="F62" s="29" t="s">
        <v>55</v>
      </c>
      <c r="G62" s="9">
        <f t="shared" ref="G62:G72" si="46">H62+I62+J62</f>
        <v>19805.7</v>
      </c>
      <c r="H62" s="6">
        <v>18221.2</v>
      </c>
      <c r="I62" s="9">
        <v>1584.5</v>
      </c>
      <c r="J62" s="6"/>
      <c r="K62" s="6">
        <f>SUM(L62:N62)</f>
        <v>19805.7</v>
      </c>
      <c r="L62" s="6">
        <v>18221.2</v>
      </c>
      <c r="M62" s="39">
        <v>1584.5</v>
      </c>
      <c r="N62" s="6"/>
      <c r="O62" s="84">
        <f t="shared" ref="O62:O68" si="47">SUM(P62:R62)</f>
        <v>19805.7</v>
      </c>
      <c r="P62" s="33">
        <f>18221.2</f>
        <v>18221.2</v>
      </c>
      <c r="Q62" s="33">
        <f>1584.5</f>
        <v>1584.5</v>
      </c>
      <c r="R62" s="33"/>
      <c r="S62" s="33">
        <f t="shared" ref="S62:S68" si="48">SUM(T62:V62)</f>
        <v>19805.7</v>
      </c>
      <c r="T62" s="33">
        <f>P62</f>
        <v>18221.2</v>
      </c>
      <c r="U62" s="33">
        <f>Q62</f>
        <v>1584.5</v>
      </c>
      <c r="V62" s="6"/>
      <c r="W62" s="20">
        <f t="shared" si="3"/>
        <v>100</v>
      </c>
      <c r="X62" s="42"/>
      <c r="Y62" s="46"/>
      <c r="Z62" s="46"/>
      <c r="AA62" s="43"/>
      <c r="AB62" s="43"/>
      <c r="AC62" s="43"/>
    </row>
    <row r="63" spans="1:29" ht="33.75" hidden="1" customHeight="1" x14ac:dyDescent="0.2">
      <c r="A63" s="24" t="s">
        <v>121</v>
      </c>
      <c r="B63" s="26" t="s">
        <v>123</v>
      </c>
      <c r="C63" s="29"/>
      <c r="D63" s="29"/>
      <c r="E63" s="29"/>
      <c r="F63" s="29"/>
      <c r="G63" s="9">
        <f t="shared" si="46"/>
        <v>0</v>
      </c>
      <c r="H63" s="6"/>
      <c r="I63" s="9"/>
      <c r="J63" s="6"/>
      <c r="K63" s="6">
        <f>SUM(L63:N63)</f>
        <v>0</v>
      </c>
      <c r="L63" s="6"/>
      <c r="M63" s="91"/>
      <c r="N63" s="6"/>
      <c r="O63" s="6">
        <f t="shared" si="47"/>
        <v>0</v>
      </c>
      <c r="P63" s="33"/>
      <c r="Q63" s="33">
        <f>U63</f>
        <v>0</v>
      </c>
      <c r="R63" s="33"/>
      <c r="S63" s="33">
        <f t="shared" si="48"/>
        <v>0</v>
      </c>
      <c r="T63" s="33"/>
      <c r="U63" s="33"/>
      <c r="V63" s="6"/>
      <c r="W63" s="20" t="e">
        <f t="shared" si="3"/>
        <v>#DIV/0!</v>
      </c>
      <c r="X63" s="42"/>
      <c r="Y63" s="46"/>
      <c r="Z63" s="46"/>
      <c r="AA63" s="43"/>
      <c r="AB63" s="43"/>
      <c r="AC63" s="43"/>
    </row>
    <row r="64" spans="1:29" ht="39" hidden="1" customHeight="1" x14ac:dyDescent="0.2">
      <c r="A64" s="24" t="s">
        <v>122</v>
      </c>
      <c r="B64" s="26" t="s">
        <v>124</v>
      </c>
      <c r="C64" s="29"/>
      <c r="D64" s="29"/>
      <c r="E64" s="29"/>
      <c r="F64" s="29"/>
      <c r="G64" s="9">
        <f t="shared" si="46"/>
        <v>0</v>
      </c>
      <c r="H64" s="6"/>
      <c r="I64" s="9"/>
      <c r="J64" s="6"/>
      <c r="K64" s="6">
        <f>SUM(L64:N64)</f>
        <v>0</v>
      </c>
      <c r="L64" s="33"/>
      <c r="M64" s="91"/>
      <c r="N64" s="6"/>
      <c r="O64" s="6">
        <f t="shared" si="47"/>
        <v>0</v>
      </c>
      <c r="P64" s="33">
        <f>T64</f>
        <v>0</v>
      </c>
      <c r="Q64" s="33">
        <f>U64</f>
        <v>0</v>
      </c>
      <c r="R64" s="33"/>
      <c r="S64" s="33">
        <f t="shared" si="48"/>
        <v>0</v>
      </c>
      <c r="T64" s="33"/>
      <c r="U64" s="33"/>
      <c r="V64" s="6"/>
      <c r="W64" s="20" t="e">
        <f t="shared" si="3"/>
        <v>#DIV/0!</v>
      </c>
      <c r="X64" s="42"/>
      <c r="Y64" s="46"/>
      <c r="Z64" s="46"/>
      <c r="AA64" s="43"/>
      <c r="AB64" s="43"/>
      <c r="AC64" s="43"/>
    </row>
    <row r="65" spans="1:29" ht="84" hidden="1" customHeight="1" x14ac:dyDescent="0.2">
      <c r="A65" s="22"/>
      <c r="B65" s="23"/>
      <c r="C65" s="30"/>
      <c r="D65" s="30"/>
      <c r="E65" s="30"/>
      <c r="F65" s="30"/>
      <c r="G65" s="13"/>
      <c r="H65" s="5"/>
      <c r="I65" s="5"/>
      <c r="J65" s="5"/>
      <c r="K65" s="5"/>
      <c r="L65" s="5"/>
      <c r="M65" s="90"/>
      <c r="N65" s="5"/>
      <c r="O65" s="5"/>
      <c r="P65" s="90"/>
      <c r="Q65" s="90"/>
      <c r="R65" s="5"/>
      <c r="S65" s="5"/>
      <c r="T65" s="90"/>
      <c r="U65" s="90"/>
      <c r="V65" s="5"/>
      <c r="W65" s="20" t="e">
        <f t="shared" si="3"/>
        <v>#DIV/0!</v>
      </c>
      <c r="X65" s="42"/>
      <c r="Y65" s="46"/>
      <c r="Z65" s="46"/>
      <c r="AA65" s="43"/>
      <c r="AB65" s="43"/>
      <c r="AC65" s="43"/>
    </row>
    <row r="66" spans="1:29" ht="78.75" hidden="1" customHeight="1" x14ac:dyDescent="0.2">
      <c r="A66" s="32"/>
      <c r="B66" s="62"/>
      <c r="C66" s="29"/>
      <c r="D66" s="29"/>
      <c r="E66" s="29"/>
      <c r="F66" s="29"/>
      <c r="G66" s="9"/>
      <c r="H66" s="6"/>
      <c r="I66" s="9"/>
      <c r="J66" s="6"/>
      <c r="K66" s="6"/>
      <c r="L66" s="6"/>
      <c r="M66" s="92"/>
      <c r="N66" s="6"/>
      <c r="O66" s="6"/>
      <c r="P66" s="92"/>
      <c r="Q66" s="92"/>
      <c r="R66" s="6"/>
      <c r="S66" s="6"/>
      <c r="T66" s="92"/>
      <c r="U66" s="92"/>
      <c r="V66" s="6"/>
      <c r="W66" s="20" t="e">
        <f t="shared" si="3"/>
        <v>#DIV/0!</v>
      </c>
      <c r="X66" s="42"/>
      <c r="Y66" s="46"/>
      <c r="Z66" s="46"/>
      <c r="AA66" s="43"/>
      <c r="AB66" s="43"/>
      <c r="AC66" s="43"/>
    </row>
    <row r="67" spans="1:29" ht="39.75" customHeight="1" x14ac:dyDescent="0.2">
      <c r="A67" s="96" t="s">
        <v>125</v>
      </c>
      <c r="B67" s="97" t="s">
        <v>129</v>
      </c>
      <c r="C67" s="98"/>
      <c r="D67" s="98"/>
      <c r="E67" s="98"/>
      <c r="F67" s="98"/>
      <c r="G67" s="99">
        <f>H67+I67+J67</f>
        <v>10870.5</v>
      </c>
      <c r="H67" s="100">
        <f>H68</f>
        <v>8757.7000000000007</v>
      </c>
      <c r="I67" s="100">
        <f>I68</f>
        <v>2112.8000000000002</v>
      </c>
      <c r="J67" s="100">
        <f>J68</f>
        <v>0</v>
      </c>
      <c r="K67" s="99">
        <f>L67+M67+N67</f>
        <v>10870.5</v>
      </c>
      <c r="L67" s="100">
        <f>L68</f>
        <v>8757.7000000000007</v>
      </c>
      <c r="M67" s="100">
        <f>M68</f>
        <v>2112.8000000000002</v>
      </c>
      <c r="N67" s="100"/>
      <c r="O67" s="99">
        <f>P67+Q67+R67</f>
        <v>9733</v>
      </c>
      <c r="P67" s="100">
        <f>P68</f>
        <v>8757.7000000000007</v>
      </c>
      <c r="Q67" s="100">
        <f>Q68</f>
        <v>975.3</v>
      </c>
      <c r="R67" s="100"/>
      <c r="S67" s="99">
        <f>T67+U67+V67</f>
        <v>9733</v>
      </c>
      <c r="T67" s="100">
        <f>T68</f>
        <v>8757.7000000000007</v>
      </c>
      <c r="U67" s="100">
        <f>U68</f>
        <v>975.3</v>
      </c>
      <c r="V67" s="5"/>
      <c r="W67" s="20">
        <f t="shared" si="3"/>
        <v>89.535899912607519</v>
      </c>
      <c r="X67" s="42"/>
      <c r="Y67" s="46"/>
      <c r="Z67" s="46"/>
      <c r="AA67" s="43"/>
      <c r="AB67" s="43"/>
      <c r="AC67" s="43"/>
    </row>
    <row r="68" spans="1:29" ht="92.25" customHeight="1" x14ac:dyDescent="0.2">
      <c r="A68" s="24" t="s">
        <v>127</v>
      </c>
      <c r="B68" s="26" t="s">
        <v>234</v>
      </c>
      <c r="C68" s="29" t="s">
        <v>237</v>
      </c>
      <c r="D68" s="29" t="s">
        <v>237</v>
      </c>
      <c r="E68" s="29"/>
      <c r="F68" s="29" t="s">
        <v>56</v>
      </c>
      <c r="G68" s="9">
        <f t="shared" si="46"/>
        <v>10870.5</v>
      </c>
      <c r="H68" s="6">
        <f>L68</f>
        <v>8757.7000000000007</v>
      </c>
      <c r="I68" s="9">
        <f>M68</f>
        <v>2112.8000000000002</v>
      </c>
      <c r="J68" s="6"/>
      <c r="K68" s="6">
        <f>L68+M68+N68</f>
        <v>10870.5</v>
      </c>
      <c r="L68" s="6">
        <v>8757.7000000000007</v>
      </c>
      <c r="M68" s="39">
        <f>178.8+1934</f>
        <v>2112.8000000000002</v>
      </c>
      <c r="N68" s="6"/>
      <c r="O68" s="6">
        <f t="shared" si="47"/>
        <v>9733</v>
      </c>
      <c r="P68" s="33">
        <v>8757.7000000000007</v>
      </c>
      <c r="Q68" s="33">
        <f>975.3</f>
        <v>975.3</v>
      </c>
      <c r="R68" s="33"/>
      <c r="S68" s="33">
        <f t="shared" si="48"/>
        <v>9733</v>
      </c>
      <c r="T68" s="33">
        <f>P68</f>
        <v>8757.7000000000007</v>
      </c>
      <c r="U68" s="33">
        <f>Q68</f>
        <v>975.3</v>
      </c>
      <c r="V68" s="6"/>
      <c r="W68" s="20">
        <f t="shared" si="3"/>
        <v>89.535899912607519</v>
      </c>
      <c r="X68" s="42"/>
      <c r="Y68" s="46"/>
      <c r="Z68" s="46"/>
      <c r="AA68" s="43"/>
      <c r="AB68" s="43"/>
      <c r="AC68" s="43"/>
    </row>
    <row r="69" spans="1:29" ht="54.75" customHeight="1" x14ac:dyDescent="0.2">
      <c r="A69" s="96" t="s">
        <v>128</v>
      </c>
      <c r="B69" s="97" t="s">
        <v>131</v>
      </c>
      <c r="C69" s="98"/>
      <c r="D69" s="98"/>
      <c r="E69" s="98"/>
      <c r="F69" s="98"/>
      <c r="G69" s="99">
        <f t="shared" ref="G69:V69" si="49">G71</f>
        <v>80952</v>
      </c>
      <c r="H69" s="100">
        <f t="shared" si="49"/>
        <v>79332.800000000003</v>
      </c>
      <c r="I69" s="100">
        <f t="shared" si="49"/>
        <v>1619.2</v>
      </c>
      <c r="J69" s="100">
        <f t="shared" si="49"/>
        <v>0</v>
      </c>
      <c r="K69" s="99">
        <f t="shared" si="49"/>
        <v>80952</v>
      </c>
      <c r="L69" s="100">
        <f t="shared" si="49"/>
        <v>79332.800000000003</v>
      </c>
      <c r="M69" s="100">
        <f t="shared" si="49"/>
        <v>1619.2</v>
      </c>
      <c r="N69" s="100">
        <f t="shared" si="49"/>
        <v>0</v>
      </c>
      <c r="O69" s="99">
        <f t="shared" si="49"/>
        <v>80951.900000000009</v>
      </c>
      <c r="P69" s="100">
        <f>P71</f>
        <v>79332.800000000003</v>
      </c>
      <c r="Q69" s="100">
        <f>Q71</f>
        <v>1619.1000000000001</v>
      </c>
      <c r="R69" s="100">
        <f t="shared" si="49"/>
        <v>0</v>
      </c>
      <c r="S69" s="99">
        <f t="shared" si="49"/>
        <v>80951.900000000009</v>
      </c>
      <c r="T69" s="100">
        <f t="shared" si="49"/>
        <v>79332.800000000003</v>
      </c>
      <c r="U69" s="100">
        <f t="shared" si="49"/>
        <v>1619.1000000000001</v>
      </c>
      <c r="V69" s="5">
        <f t="shared" si="49"/>
        <v>0</v>
      </c>
      <c r="W69" s="20">
        <f t="shared" si="3"/>
        <v>99.999876470006924</v>
      </c>
      <c r="X69" s="42"/>
      <c r="Y69" s="46"/>
      <c r="Z69" s="46"/>
      <c r="AA69" s="43"/>
      <c r="AB69" s="43"/>
      <c r="AC69" s="43"/>
    </row>
    <row r="70" spans="1:29" ht="42" hidden="1" customHeight="1" x14ac:dyDescent="0.2">
      <c r="A70" s="32" t="s">
        <v>132</v>
      </c>
      <c r="B70" s="26" t="s">
        <v>238</v>
      </c>
      <c r="C70" s="29"/>
      <c r="D70" s="29"/>
      <c r="E70" s="29"/>
      <c r="F70" s="29"/>
      <c r="G70" s="9">
        <f t="shared" si="46"/>
        <v>0</v>
      </c>
      <c r="H70" s="6"/>
      <c r="I70" s="9"/>
      <c r="J70" s="6"/>
      <c r="K70" s="6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20" t="e">
        <f t="shared" si="3"/>
        <v>#DIV/0!</v>
      </c>
      <c r="X70" s="42"/>
      <c r="Y70" s="46"/>
      <c r="Z70" s="46"/>
      <c r="AA70" s="43"/>
      <c r="AB70" s="43"/>
      <c r="AC70" s="43"/>
    </row>
    <row r="71" spans="1:29" s="43" customFormat="1" ht="54.75" customHeight="1" x14ac:dyDescent="0.2">
      <c r="A71" s="32" t="s">
        <v>235</v>
      </c>
      <c r="B71" s="26" t="s">
        <v>286</v>
      </c>
      <c r="C71" s="24" t="s">
        <v>236</v>
      </c>
      <c r="D71" s="24" t="s">
        <v>236</v>
      </c>
      <c r="E71" s="24"/>
      <c r="F71" s="24" t="s">
        <v>56</v>
      </c>
      <c r="G71" s="39">
        <f>H71+I71+J71</f>
        <v>80952</v>
      </c>
      <c r="H71" s="33">
        <f>L71</f>
        <v>79332.800000000003</v>
      </c>
      <c r="I71" s="39">
        <f>M71</f>
        <v>1619.2</v>
      </c>
      <c r="J71" s="33"/>
      <c r="K71" s="6">
        <f>L71+M71+N71</f>
        <v>80952</v>
      </c>
      <c r="L71" s="33">
        <f>69218.95+10113.85</f>
        <v>79332.800000000003</v>
      </c>
      <c r="M71" s="33">
        <f>1412.75+206.45</f>
        <v>1619.2</v>
      </c>
      <c r="N71" s="33"/>
      <c r="O71" s="33">
        <f>SUM(P71:R71)</f>
        <v>80951.900000000009</v>
      </c>
      <c r="P71" s="33">
        <v>79332.800000000003</v>
      </c>
      <c r="Q71" s="33">
        <f>1619.2-0.1</f>
        <v>1619.1000000000001</v>
      </c>
      <c r="R71" s="33"/>
      <c r="S71" s="33">
        <f>SUM(T71:V71)</f>
        <v>80951.900000000009</v>
      </c>
      <c r="T71" s="33">
        <f>P71</f>
        <v>79332.800000000003</v>
      </c>
      <c r="U71" s="33">
        <f>Q71</f>
        <v>1619.1000000000001</v>
      </c>
      <c r="V71" s="33"/>
      <c r="W71" s="75">
        <f t="shared" si="3"/>
        <v>99.999876470006924</v>
      </c>
      <c r="X71" s="44"/>
      <c r="Y71" s="76"/>
      <c r="Z71" s="76"/>
    </row>
    <row r="72" spans="1:29" ht="57.75" hidden="1" customHeight="1" x14ac:dyDescent="0.2">
      <c r="A72" s="32"/>
      <c r="B72" s="25"/>
      <c r="C72" s="29"/>
      <c r="D72" s="29"/>
      <c r="E72" s="29"/>
      <c r="F72" s="29"/>
      <c r="G72" s="9">
        <f t="shared" si="46"/>
        <v>0</v>
      </c>
      <c r="H72" s="6"/>
      <c r="I72" s="9"/>
      <c r="J72" s="6"/>
      <c r="K72" s="6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20" t="e">
        <f t="shared" si="3"/>
        <v>#DIV/0!</v>
      </c>
      <c r="X72" s="42"/>
      <c r="Y72" s="46"/>
      <c r="Z72" s="46"/>
      <c r="AA72" s="43"/>
      <c r="AB72" s="43"/>
      <c r="AC72" s="43"/>
    </row>
    <row r="73" spans="1:29" ht="88.5" hidden="1" customHeight="1" x14ac:dyDescent="0.2">
      <c r="A73" s="22" t="s">
        <v>130</v>
      </c>
      <c r="B73" s="23" t="s">
        <v>135</v>
      </c>
      <c r="C73" s="30"/>
      <c r="D73" s="30"/>
      <c r="E73" s="30"/>
      <c r="F73" s="30"/>
      <c r="G73" s="13">
        <f>G74</f>
        <v>0</v>
      </c>
      <c r="H73" s="13">
        <f>H74</f>
        <v>0</v>
      </c>
      <c r="I73" s="13">
        <f>I74</f>
        <v>0</v>
      </c>
      <c r="J73" s="13">
        <f>J74</f>
        <v>0</v>
      </c>
      <c r="K73" s="5"/>
      <c r="L73" s="5"/>
      <c r="M73" s="90"/>
      <c r="N73" s="5"/>
      <c r="O73" s="5"/>
      <c r="P73" s="90"/>
      <c r="Q73" s="90"/>
      <c r="R73" s="5"/>
      <c r="S73" s="5"/>
      <c r="T73" s="90"/>
      <c r="U73" s="90"/>
      <c r="V73" s="5"/>
      <c r="W73" s="20" t="e">
        <f t="shared" si="3"/>
        <v>#DIV/0!</v>
      </c>
      <c r="X73" s="42"/>
      <c r="Y73" s="46"/>
      <c r="Z73" s="46"/>
      <c r="AA73" s="43"/>
      <c r="AB73" s="43"/>
      <c r="AC73" s="43"/>
    </row>
    <row r="74" spans="1:29" ht="57.75" hidden="1" customHeight="1" x14ac:dyDescent="0.2">
      <c r="A74" s="32" t="s">
        <v>133</v>
      </c>
      <c r="B74" s="26" t="s">
        <v>137</v>
      </c>
      <c r="C74" s="29"/>
      <c r="D74" s="29"/>
      <c r="E74" s="29"/>
      <c r="F74" s="29"/>
      <c r="G74" s="9">
        <f>SUM(H74:J74)</f>
        <v>0</v>
      </c>
      <c r="H74" s="6"/>
      <c r="I74" s="9"/>
      <c r="J74" s="6"/>
      <c r="K74" s="6"/>
      <c r="L74" s="6"/>
      <c r="M74" s="92"/>
      <c r="N74" s="6"/>
      <c r="O74" s="6"/>
      <c r="P74" s="92"/>
      <c r="Q74" s="92"/>
      <c r="R74" s="6"/>
      <c r="S74" s="6"/>
      <c r="T74" s="92"/>
      <c r="U74" s="92"/>
      <c r="V74" s="6"/>
      <c r="W74" s="20" t="e">
        <f t="shared" si="3"/>
        <v>#DIV/0!</v>
      </c>
      <c r="X74" s="42"/>
      <c r="Y74" s="46"/>
      <c r="Z74" s="46"/>
      <c r="AA74" s="43"/>
      <c r="AB74" s="43"/>
      <c r="AC74" s="43"/>
    </row>
    <row r="75" spans="1:29" ht="34.5" hidden="1" customHeight="1" x14ac:dyDescent="0.2">
      <c r="A75" s="22" t="s">
        <v>134</v>
      </c>
      <c r="B75" s="23" t="s">
        <v>139</v>
      </c>
      <c r="C75" s="30"/>
      <c r="D75" s="30"/>
      <c r="E75" s="30"/>
      <c r="F75" s="30"/>
      <c r="G75" s="13">
        <f>G76</f>
        <v>0</v>
      </c>
      <c r="H75" s="13">
        <f>H76</f>
        <v>0</v>
      </c>
      <c r="I75" s="13">
        <f>I76</f>
        <v>0</v>
      </c>
      <c r="J75" s="13">
        <f>J76</f>
        <v>0</v>
      </c>
      <c r="K75" s="5"/>
      <c r="L75" s="5"/>
      <c r="M75" s="90"/>
      <c r="N75" s="5"/>
      <c r="O75" s="5"/>
      <c r="P75" s="90"/>
      <c r="Q75" s="90"/>
      <c r="R75" s="5"/>
      <c r="S75" s="5"/>
      <c r="T75" s="90"/>
      <c r="U75" s="90"/>
      <c r="V75" s="5">
        <f>SUM(V78:V82)</f>
        <v>0</v>
      </c>
      <c r="W75" s="20" t="e">
        <f t="shared" si="3"/>
        <v>#DIV/0!</v>
      </c>
      <c r="X75" s="42"/>
      <c r="Y75" s="46"/>
      <c r="Z75" s="46"/>
      <c r="AA75" s="43"/>
      <c r="AB75" s="43"/>
      <c r="AC75" s="43"/>
    </row>
    <row r="76" spans="1:29" ht="69.75" hidden="1" customHeight="1" x14ac:dyDescent="0.2">
      <c r="A76" s="32" t="s">
        <v>136</v>
      </c>
      <c r="B76" s="26" t="s">
        <v>141</v>
      </c>
      <c r="C76" s="29"/>
      <c r="D76" s="29"/>
      <c r="E76" s="29"/>
      <c r="F76" s="29"/>
      <c r="G76" s="9">
        <f>SUM(H76:J76)</f>
        <v>0</v>
      </c>
      <c r="H76" s="6"/>
      <c r="I76" s="9"/>
      <c r="J76" s="6"/>
      <c r="K76" s="6"/>
      <c r="L76" s="6"/>
      <c r="M76" s="92"/>
      <c r="N76" s="6"/>
      <c r="O76" s="6"/>
      <c r="P76" s="92"/>
      <c r="Q76" s="92"/>
      <c r="R76" s="6"/>
      <c r="S76" s="6"/>
      <c r="T76" s="92"/>
      <c r="U76" s="92"/>
      <c r="V76" s="6"/>
      <c r="W76" s="20" t="e">
        <f>S76*100/K76</f>
        <v>#DIV/0!</v>
      </c>
      <c r="X76" s="42"/>
      <c r="Y76" s="46"/>
      <c r="Z76" s="46"/>
      <c r="AA76" s="43"/>
      <c r="AB76" s="43"/>
      <c r="AC76" s="43"/>
    </row>
    <row r="77" spans="1:29" ht="69.75" hidden="1" customHeight="1" x14ac:dyDescent="0.2">
      <c r="A77" s="77" t="s">
        <v>138</v>
      </c>
      <c r="B77" s="23" t="s">
        <v>239</v>
      </c>
      <c r="C77" s="30"/>
      <c r="D77" s="30"/>
      <c r="E77" s="30"/>
      <c r="F77" s="30"/>
      <c r="G77" s="13">
        <f>G78</f>
        <v>0</v>
      </c>
      <c r="H77" s="13">
        <f>H78</f>
        <v>0</v>
      </c>
      <c r="I77" s="13">
        <f>I78</f>
        <v>0</v>
      </c>
      <c r="J77" s="13">
        <f>J78</f>
        <v>0</v>
      </c>
      <c r="K77" s="5"/>
      <c r="L77" s="5"/>
      <c r="M77" s="90"/>
      <c r="N77" s="5"/>
      <c r="O77" s="5"/>
      <c r="P77" s="90"/>
      <c r="Q77" s="90"/>
      <c r="R77" s="5"/>
      <c r="S77" s="5"/>
      <c r="T77" s="90"/>
      <c r="U77" s="90"/>
      <c r="V77" s="5"/>
      <c r="W77" s="20"/>
      <c r="X77" s="42"/>
      <c r="Y77" s="46"/>
      <c r="Z77" s="46"/>
      <c r="AA77" s="43"/>
      <c r="AB77" s="43"/>
      <c r="AC77" s="43"/>
    </row>
    <row r="78" spans="1:29" ht="69.75" hidden="1" customHeight="1" x14ac:dyDescent="0.2">
      <c r="A78" s="32" t="s">
        <v>140</v>
      </c>
      <c r="B78" s="26" t="s">
        <v>264</v>
      </c>
      <c r="C78" s="29"/>
      <c r="D78" s="29"/>
      <c r="E78" s="29"/>
      <c r="F78" s="29"/>
      <c r="G78" s="9">
        <f>SUM(H78:J78)</f>
        <v>0</v>
      </c>
      <c r="H78" s="6"/>
      <c r="I78" s="9"/>
      <c r="J78" s="6"/>
      <c r="K78" s="6"/>
      <c r="L78" s="6"/>
      <c r="M78" s="92"/>
      <c r="N78" s="6"/>
      <c r="O78" s="6"/>
      <c r="P78" s="92"/>
      <c r="Q78" s="92"/>
      <c r="R78" s="6"/>
      <c r="S78" s="6"/>
      <c r="T78" s="92"/>
      <c r="U78" s="92"/>
      <c r="V78" s="6"/>
      <c r="W78" s="20" t="e">
        <f t="shared" si="3"/>
        <v>#DIV/0!</v>
      </c>
      <c r="X78" s="42"/>
      <c r="Y78" s="46"/>
      <c r="Z78" s="46"/>
      <c r="AA78" s="43"/>
      <c r="AB78" s="43"/>
      <c r="AC78" s="43"/>
    </row>
    <row r="79" spans="1:29" ht="25.5" customHeight="1" x14ac:dyDescent="0.2">
      <c r="A79" s="121" t="s">
        <v>143</v>
      </c>
      <c r="B79" s="121"/>
      <c r="C79" s="28"/>
      <c r="D79" s="28"/>
      <c r="E79" s="28"/>
      <c r="F79" s="28"/>
      <c r="G79" s="14">
        <f t="shared" ref="G79:G100" si="50">H79+I79+J79</f>
        <v>217280.90000000002</v>
      </c>
      <c r="H79" s="14">
        <f>H80+H86+H88+H92+H97+H99</f>
        <v>169243.2</v>
      </c>
      <c r="I79" s="14">
        <f>I80+I86+I88+I92+I97+I99</f>
        <v>48037.7</v>
      </c>
      <c r="J79" s="14">
        <f>J80+J86+J88+J92+J97+J99</f>
        <v>0</v>
      </c>
      <c r="K79" s="14">
        <f>L79+M79+N79</f>
        <v>217280.90000000002</v>
      </c>
      <c r="L79" s="14">
        <f>L80+L86+L88+L92+L97+L99</f>
        <v>169243.2</v>
      </c>
      <c r="M79" s="14">
        <f>M80+M86+M88+M92+M97+M99</f>
        <v>48037.7</v>
      </c>
      <c r="N79" s="14">
        <f>N80+N86+N88+N92+N97+N99</f>
        <v>0</v>
      </c>
      <c r="O79" s="14">
        <f>P79+Q79+R79</f>
        <v>199716.6</v>
      </c>
      <c r="P79" s="14">
        <f>P80+P86+P88+P92+P97+P99</f>
        <v>169243.2</v>
      </c>
      <c r="Q79" s="14">
        <f>Q80+Q86+Q88+Q92+Q97+Q99</f>
        <v>30473.4</v>
      </c>
      <c r="R79" s="14">
        <f>R80+R86+R88+R92+R97+R99</f>
        <v>0</v>
      </c>
      <c r="S79" s="14">
        <f>T79+U79+V79</f>
        <v>35993.4</v>
      </c>
      <c r="T79" s="14">
        <f>T80+T86+T88+T92+T97+T99</f>
        <v>5520</v>
      </c>
      <c r="U79" s="14">
        <f>U80+U86+U88+U92+U97+U99</f>
        <v>30473.4</v>
      </c>
      <c r="V79" s="14">
        <f>V80+V86+V88+V92+V97+V99</f>
        <v>0</v>
      </c>
      <c r="W79" s="20">
        <f t="shared" si="3"/>
        <v>16.565376892308525</v>
      </c>
      <c r="X79" s="42"/>
      <c r="Y79" s="46"/>
      <c r="Z79" s="46"/>
      <c r="AA79" s="43"/>
      <c r="AB79" s="43"/>
      <c r="AC79" s="43"/>
    </row>
    <row r="80" spans="1:29" ht="36.75" customHeight="1" x14ac:dyDescent="0.2">
      <c r="A80" s="96" t="s">
        <v>16</v>
      </c>
      <c r="B80" s="97" t="s">
        <v>17</v>
      </c>
      <c r="C80" s="98"/>
      <c r="D80" s="98"/>
      <c r="E80" s="98"/>
      <c r="F80" s="98"/>
      <c r="G80" s="99">
        <f t="shared" si="50"/>
        <v>2928</v>
      </c>
      <c r="H80" s="99">
        <f>SUM(H81:H85)</f>
        <v>0</v>
      </c>
      <c r="I80" s="99">
        <f>SUM(I81:I85)</f>
        <v>2928</v>
      </c>
      <c r="J80" s="99">
        <f>SUM(J81:J85)</f>
        <v>0</v>
      </c>
      <c r="K80" s="99">
        <f>L80+M80+N80</f>
        <v>2928</v>
      </c>
      <c r="L80" s="99">
        <f>SUM(L81:L85)</f>
        <v>0</v>
      </c>
      <c r="M80" s="99">
        <f>SUM(M81:M85)</f>
        <v>2928</v>
      </c>
      <c r="N80" s="99">
        <f>SUM(N81:N85)</f>
        <v>0</v>
      </c>
      <c r="O80" s="99">
        <f>P80+Q80+R80</f>
        <v>2595.4</v>
      </c>
      <c r="P80" s="99">
        <f>SUM(P81:P85)</f>
        <v>0</v>
      </c>
      <c r="Q80" s="99">
        <f>SUM(Q81:Q85)</f>
        <v>2595.4</v>
      </c>
      <c r="R80" s="99">
        <f>SUM(R81:R85)</f>
        <v>0</v>
      </c>
      <c r="S80" s="99">
        <f>T80+U80+V80</f>
        <v>2595.4</v>
      </c>
      <c r="T80" s="99">
        <f>SUM(T81:T85)</f>
        <v>0</v>
      </c>
      <c r="U80" s="99">
        <f>SUM(U81:U85)</f>
        <v>2595.4</v>
      </c>
      <c r="V80" s="13">
        <f>SUM(V81:V85)</f>
        <v>0</v>
      </c>
      <c r="W80" s="20">
        <f t="shared" si="3"/>
        <v>88.64071038251366</v>
      </c>
      <c r="X80" s="42"/>
      <c r="Y80" s="46"/>
      <c r="Z80" s="46"/>
      <c r="AA80" s="43"/>
      <c r="AB80" s="43"/>
      <c r="AC80" s="43"/>
    </row>
    <row r="81" spans="1:29" ht="58.5" customHeight="1" x14ac:dyDescent="0.2">
      <c r="A81" s="24" t="s">
        <v>26</v>
      </c>
      <c r="B81" s="26" t="s">
        <v>18</v>
      </c>
      <c r="C81" s="29" t="s">
        <v>190</v>
      </c>
      <c r="D81" s="29"/>
      <c r="E81" s="29"/>
      <c r="F81" s="29" t="s">
        <v>64</v>
      </c>
      <c r="G81" s="9">
        <f t="shared" si="50"/>
        <v>580</v>
      </c>
      <c r="H81" s="6">
        <v>0</v>
      </c>
      <c r="I81" s="9">
        <f>M81</f>
        <v>580</v>
      </c>
      <c r="J81" s="6">
        <v>0</v>
      </c>
      <c r="K81" s="6">
        <f>SUM(L81:N81)</f>
        <v>580</v>
      </c>
      <c r="L81" s="6"/>
      <c r="M81" s="33">
        <v>580</v>
      </c>
      <c r="N81" s="33"/>
      <c r="O81" s="33">
        <f>SUM(P81:R81)</f>
        <v>336</v>
      </c>
      <c r="P81" s="33"/>
      <c r="Q81" s="33">
        <v>336</v>
      </c>
      <c r="R81" s="33"/>
      <c r="S81" s="33">
        <f>SUM(T81:V81)</f>
        <v>336</v>
      </c>
      <c r="T81" s="33"/>
      <c r="U81" s="33">
        <f>Q81</f>
        <v>336</v>
      </c>
      <c r="V81" s="33"/>
      <c r="W81" s="20">
        <f t="shared" si="3"/>
        <v>57.931034482758619</v>
      </c>
      <c r="X81" s="42"/>
      <c r="Y81" s="46"/>
      <c r="Z81" s="46"/>
      <c r="AA81" s="43"/>
      <c r="AB81" s="43"/>
      <c r="AC81" s="43"/>
    </row>
    <row r="82" spans="1:29" ht="39.75" customHeight="1" x14ac:dyDescent="0.2">
      <c r="A82" s="24" t="s">
        <v>27</v>
      </c>
      <c r="B82" s="26" t="s">
        <v>166</v>
      </c>
      <c r="C82" s="29" t="s">
        <v>191</v>
      </c>
      <c r="D82" s="29"/>
      <c r="E82" s="29"/>
      <c r="F82" s="29" t="s">
        <v>65</v>
      </c>
      <c r="G82" s="9">
        <f t="shared" si="50"/>
        <v>348</v>
      </c>
      <c r="H82" s="6"/>
      <c r="I82" s="9">
        <f t="shared" ref="I82:I83" si="51">M82</f>
        <v>348</v>
      </c>
      <c r="J82" s="6"/>
      <c r="K82" s="9">
        <f>L82+M82+N82</f>
        <v>348</v>
      </c>
      <c r="L82" s="9"/>
      <c r="M82" s="39">
        <v>348</v>
      </c>
      <c r="N82" s="39"/>
      <c r="O82" s="39">
        <f>P82+Q82+R82</f>
        <v>330</v>
      </c>
      <c r="P82" s="39"/>
      <c r="Q82" s="33">
        <v>330</v>
      </c>
      <c r="R82" s="39"/>
      <c r="S82" s="39">
        <f>T82+U82+V82</f>
        <v>330</v>
      </c>
      <c r="T82" s="39"/>
      <c r="U82" s="33">
        <f t="shared" ref="U82:U83" si="52">Q82</f>
        <v>330</v>
      </c>
      <c r="V82" s="39"/>
      <c r="W82" s="20">
        <f t="shared" si="3"/>
        <v>94.827586206896555</v>
      </c>
      <c r="X82" s="42"/>
      <c r="Y82" s="46"/>
      <c r="Z82" s="46"/>
      <c r="AA82" s="43"/>
      <c r="AB82" s="43"/>
      <c r="AC82" s="43"/>
    </row>
    <row r="83" spans="1:29" ht="61.5" customHeight="1" x14ac:dyDescent="0.2">
      <c r="A83" s="24" t="s">
        <v>32</v>
      </c>
      <c r="B83" s="26" t="s">
        <v>240</v>
      </c>
      <c r="C83" s="29" t="s">
        <v>241</v>
      </c>
      <c r="D83" s="29"/>
      <c r="E83" s="29"/>
      <c r="F83" s="29" t="s">
        <v>55</v>
      </c>
      <c r="G83" s="9">
        <f t="shared" si="50"/>
        <v>2000</v>
      </c>
      <c r="H83" s="6">
        <v>0</v>
      </c>
      <c r="I83" s="9">
        <f t="shared" si="51"/>
        <v>2000</v>
      </c>
      <c r="J83" s="6">
        <v>0</v>
      </c>
      <c r="K83" s="6">
        <f>SUM(L83:N83)</f>
        <v>2000</v>
      </c>
      <c r="L83" s="6"/>
      <c r="M83" s="33">
        <v>2000</v>
      </c>
      <c r="N83" s="33"/>
      <c r="O83" s="33">
        <f>SUM(P83:R83)</f>
        <v>1929.4</v>
      </c>
      <c r="P83" s="33"/>
      <c r="Q83" s="33">
        <f>1929.4</f>
        <v>1929.4</v>
      </c>
      <c r="R83" s="33"/>
      <c r="S83" s="33">
        <f>SUM(T83:V83)</f>
        <v>1929.4</v>
      </c>
      <c r="T83" s="33"/>
      <c r="U83" s="33">
        <f t="shared" si="52"/>
        <v>1929.4</v>
      </c>
      <c r="V83" s="33"/>
      <c r="W83" s="20">
        <f t="shared" ref="W83:W171" si="53">S83*100/K83</f>
        <v>96.47</v>
      </c>
      <c r="X83" s="42"/>
      <c r="Y83" s="46"/>
      <c r="Z83" s="46"/>
      <c r="AA83" s="43"/>
      <c r="AB83" s="43"/>
      <c r="AC83" s="43"/>
    </row>
    <row r="84" spans="1:29" ht="45.75" hidden="1" customHeight="1" x14ac:dyDescent="0.2">
      <c r="A84" s="24"/>
      <c r="B84" s="25"/>
      <c r="C84" s="29"/>
      <c r="D84" s="29"/>
      <c r="E84" s="29"/>
      <c r="F84" s="29"/>
      <c r="G84" s="9">
        <f t="shared" si="50"/>
        <v>0</v>
      </c>
      <c r="H84" s="6"/>
      <c r="I84" s="9"/>
      <c r="J84" s="6"/>
      <c r="K84" s="6">
        <f>SUM(L84:N84)</f>
        <v>0</v>
      </c>
      <c r="L84" s="6"/>
      <c r="M84" s="33"/>
      <c r="N84" s="33"/>
      <c r="O84" s="33">
        <f>SUM(P84:R84)</f>
        <v>0</v>
      </c>
      <c r="P84" s="33"/>
      <c r="Q84" s="33"/>
      <c r="R84" s="33"/>
      <c r="S84" s="33">
        <f>SUM(T84:V84)</f>
        <v>0</v>
      </c>
      <c r="T84" s="33"/>
      <c r="U84" s="33"/>
      <c r="V84" s="33"/>
      <c r="W84" s="20" t="e">
        <f t="shared" si="53"/>
        <v>#DIV/0!</v>
      </c>
      <c r="X84" s="42"/>
      <c r="Y84" s="46"/>
      <c r="Z84" s="46"/>
      <c r="AA84" s="43"/>
      <c r="AB84" s="43"/>
      <c r="AC84" s="43"/>
    </row>
    <row r="85" spans="1:29" ht="25.5" hidden="1" customHeight="1" x14ac:dyDescent="0.2">
      <c r="A85" s="24"/>
      <c r="B85" s="25"/>
      <c r="C85" s="29"/>
      <c r="D85" s="29"/>
      <c r="E85" s="29"/>
      <c r="F85" s="29"/>
      <c r="G85" s="9">
        <f t="shared" si="50"/>
        <v>0</v>
      </c>
      <c r="H85" s="6"/>
      <c r="I85" s="9"/>
      <c r="J85" s="6"/>
      <c r="K85" s="6">
        <f>SUM(L85:N85)</f>
        <v>0</v>
      </c>
      <c r="L85" s="6"/>
      <c r="M85" s="33"/>
      <c r="N85" s="33"/>
      <c r="O85" s="33">
        <f>SUM(P85:R85)</f>
        <v>0</v>
      </c>
      <c r="P85" s="33"/>
      <c r="Q85" s="33"/>
      <c r="R85" s="33"/>
      <c r="S85" s="33">
        <f>SUM(T85:V85)</f>
        <v>0</v>
      </c>
      <c r="T85" s="33"/>
      <c r="U85" s="33"/>
      <c r="V85" s="33"/>
      <c r="W85" s="20" t="e">
        <f t="shared" si="53"/>
        <v>#DIV/0!</v>
      </c>
      <c r="X85" s="42"/>
      <c r="Y85" s="46"/>
      <c r="Z85" s="46"/>
      <c r="AA85" s="43"/>
      <c r="AB85" s="43"/>
      <c r="AC85" s="43"/>
    </row>
    <row r="86" spans="1:29" ht="57.75" customHeight="1" x14ac:dyDescent="0.2">
      <c r="A86" s="96" t="s">
        <v>7</v>
      </c>
      <c r="B86" s="97" t="s">
        <v>19</v>
      </c>
      <c r="C86" s="98"/>
      <c r="D86" s="98"/>
      <c r="E86" s="98"/>
      <c r="F86" s="98"/>
      <c r="G86" s="99">
        <f t="shared" si="50"/>
        <v>3838.7</v>
      </c>
      <c r="H86" s="99">
        <f>H87</f>
        <v>0</v>
      </c>
      <c r="I86" s="99">
        <f>I87</f>
        <v>3838.7</v>
      </c>
      <c r="J86" s="99">
        <f>J87</f>
        <v>0</v>
      </c>
      <c r="K86" s="99">
        <f>L86+M86+N86</f>
        <v>3838.7</v>
      </c>
      <c r="L86" s="99">
        <f>L87</f>
        <v>0</v>
      </c>
      <c r="M86" s="99">
        <f>M87</f>
        <v>3838.7</v>
      </c>
      <c r="N86" s="99">
        <f>N87</f>
        <v>0</v>
      </c>
      <c r="O86" s="99">
        <f>P86+Q86+R86</f>
        <v>2239.1999999999998</v>
      </c>
      <c r="P86" s="99">
        <f>P87</f>
        <v>0</v>
      </c>
      <c r="Q86" s="99">
        <f>Q87</f>
        <v>2239.1999999999998</v>
      </c>
      <c r="R86" s="99">
        <f>R87</f>
        <v>0</v>
      </c>
      <c r="S86" s="99">
        <f>T86+U86+V86</f>
        <v>2239.1999999999998</v>
      </c>
      <c r="T86" s="99">
        <f>T87</f>
        <v>0</v>
      </c>
      <c r="U86" s="99">
        <f>U87</f>
        <v>2239.1999999999998</v>
      </c>
      <c r="V86" s="13">
        <f>V87</f>
        <v>0</v>
      </c>
      <c r="W86" s="20">
        <f t="shared" si="53"/>
        <v>58.332247896423262</v>
      </c>
      <c r="X86" s="42"/>
      <c r="Y86" s="46"/>
      <c r="Z86" s="46"/>
      <c r="AA86" s="43"/>
      <c r="AB86" s="43"/>
      <c r="AC86" s="43"/>
    </row>
    <row r="87" spans="1:29" ht="135" customHeight="1" x14ac:dyDescent="0.2">
      <c r="A87" s="24" t="s">
        <v>29</v>
      </c>
      <c r="B87" s="26" t="s">
        <v>265</v>
      </c>
      <c r="C87" s="29" t="s">
        <v>192</v>
      </c>
      <c r="D87" s="29"/>
      <c r="E87" s="29"/>
      <c r="F87" s="29" t="s">
        <v>76</v>
      </c>
      <c r="G87" s="9">
        <f t="shared" si="50"/>
        <v>3838.7</v>
      </c>
      <c r="H87" s="8">
        <v>0</v>
      </c>
      <c r="I87" s="9">
        <f>M87</f>
        <v>3838.7</v>
      </c>
      <c r="J87" s="8">
        <v>0</v>
      </c>
      <c r="K87" s="6">
        <f>SUM(L87:N87)</f>
        <v>3838.7</v>
      </c>
      <c r="L87" s="33"/>
      <c r="M87" s="33">
        <v>3838.7</v>
      </c>
      <c r="N87" s="33"/>
      <c r="O87" s="33">
        <f>SUM(P87:R87)</f>
        <v>2239.1999999999998</v>
      </c>
      <c r="P87" s="33"/>
      <c r="Q87" s="33">
        <f>2239.2</f>
        <v>2239.1999999999998</v>
      </c>
      <c r="R87" s="33"/>
      <c r="S87" s="33">
        <f>SUM(T87:V87)</f>
        <v>2239.1999999999998</v>
      </c>
      <c r="T87" s="33"/>
      <c r="U87" s="33">
        <f>Q87</f>
        <v>2239.1999999999998</v>
      </c>
      <c r="V87" s="6"/>
      <c r="W87" s="20">
        <f t="shared" si="53"/>
        <v>58.332247896423262</v>
      </c>
      <c r="X87" s="42"/>
      <c r="Y87" s="46"/>
      <c r="Z87" s="46"/>
      <c r="AA87" s="43"/>
      <c r="AB87" s="43"/>
      <c r="AC87" s="43"/>
    </row>
    <row r="88" spans="1:29" ht="45.75" customHeight="1" x14ac:dyDescent="0.2">
      <c r="A88" s="96" t="s">
        <v>8</v>
      </c>
      <c r="B88" s="97" t="s">
        <v>218</v>
      </c>
      <c r="C88" s="98"/>
      <c r="D88" s="98"/>
      <c r="E88" s="98"/>
      <c r="F88" s="98"/>
      <c r="G88" s="99">
        <f t="shared" si="50"/>
        <v>183723.2</v>
      </c>
      <c r="H88" s="99">
        <f>SUM(H89:H91)</f>
        <v>163723.20000000001</v>
      </c>
      <c r="I88" s="99">
        <f>SUM(I89:I91)</f>
        <v>20000</v>
      </c>
      <c r="J88" s="99">
        <f>SUM(J89:J91)</f>
        <v>0</v>
      </c>
      <c r="K88" s="99">
        <f>L88+M88+N88</f>
        <v>183723.2</v>
      </c>
      <c r="L88" s="99">
        <f>SUM(L89:L91)</f>
        <v>163723.20000000001</v>
      </c>
      <c r="M88" s="99">
        <f>SUM(M89:M91)</f>
        <v>20000</v>
      </c>
      <c r="N88" s="99">
        <f>SUM(N89:N91)</f>
        <v>0</v>
      </c>
      <c r="O88" s="99">
        <f>P88+Q88+R88</f>
        <v>181317.6</v>
      </c>
      <c r="P88" s="99">
        <f>SUM(P89:P91)</f>
        <v>163723.20000000001</v>
      </c>
      <c r="Q88" s="99">
        <f>SUM(Q89:Q91)</f>
        <v>17594.400000000001</v>
      </c>
      <c r="R88" s="99">
        <f>SUM(R89:R91)</f>
        <v>0</v>
      </c>
      <c r="S88" s="99">
        <f>T88+U88+V88</f>
        <v>17594.400000000001</v>
      </c>
      <c r="T88" s="99">
        <f>SUM(T89:T91)</f>
        <v>0</v>
      </c>
      <c r="U88" s="99">
        <f>SUM(U89:U91)</f>
        <v>17594.400000000001</v>
      </c>
      <c r="V88" s="13">
        <f>SUM(V89:V91)</f>
        <v>0</v>
      </c>
      <c r="W88" s="20">
        <f>S88*100/K88</f>
        <v>9.5765804209811289</v>
      </c>
      <c r="X88" s="42"/>
      <c r="Y88" s="46"/>
      <c r="Z88" s="46"/>
      <c r="AA88" s="43"/>
      <c r="AB88" s="43"/>
      <c r="AC88" s="43"/>
    </row>
    <row r="89" spans="1:29" ht="40.5" customHeight="1" x14ac:dyDescent="0.2">
      <c r="A89" s="24" t="s">
        <v>30</v>
      </c>
      <c r="B89" s="26" t="s">
        <v>142</v>
      </c>
      <c r="C89" s="29" t="s">
        <v>193</v>
      </c>
      <c r="D89" s="29"/>
      <c r="E89" s="29"/>
      <c r="F89" s="29" t="s">
        <v>53</v>
      </c>
      <c r="G89" s="9">
        <f t="shared" si="50"/>
        <v>20000</v>
      </c>
      <c r="H89" s="6"/>
      <c r="I89" s="9">
        <f>M89</f>
        <v>20000</v>
      </c>
      <c r="J89" s="6">
        <v>0</v>
      </c>
      <c r="K89" s="6">
        <f t="shared" ref="K89:K95" si="54">L89+M89+N89</f>
        <v>20000</v>
      </c>
      <c r="L89" s="6"/>
      <c r="M89" s="33">
        <v>20000</v>
      </c>
      <c r="N89" s="33">
        <v>0</v>
      </c>
      <c r="O89" s="33">
        <f>SUM(P89:R89)</f>
        <v>17594.400000000001</v>
      </c>
      <c r="P89" s="33"/>
      <c r="Q89" s="33">
        <f>17594.4</f>
        <v>17594.400000000001</v>
      </c>
      <c r="R89" s="33"/>
      <c r="S89" s="33">
        <f>SUM(T89:V89)</f>
        <v>17594.400000000001</v>
      </c>
      <c r="T89" s="33">
        <f>P89</f>
        <v>0</v>
      </c>
      <c r="U89" s="33">
        <f>Q89</f>
        <v>17594.400000000001</v>
      </c>
      <c r="V89" s="6"/>
      <c r="W89" s="20">
        <f t="shared" si="53"/>
        <v>87.972000000000008</v>
      </c>
      <c r="X89" s="42"/>
      <c r="Y89" s="46"/>
      <c r="Z89" s="46"/>
      <c r="AA89" s="43"/>
      <c r="AB89" s="43"/>
      <c r="AC89" s="43"/>
    </row>
    <row r="90" spans="1:29" ht="40.5" hidden="1" customHeight="1" x14ac:dyDescent="0.2">
      <c r="A90" s="24" t="s">
        <v>81</v>
      </c>
      <c r="B90" s="26" t="s">
        <v>219</v>
      </c>
      <c r="C90" s="29"/>
      <c r="D90" s="29"/>
      <c r="E90" s="29"/>
      <c r="F90" s="29"/>
      <c r="G90" s="9">
        <f t="shared" si="50"/>
        <v>0</v>
      </c>
      <c r="H90" s="6"/>
      <c r="I90" s="9"/>
      <c r="J90" s="6"/>
      <c r="K90" s="6"/>
      <c r="L90" s="6"/>
      <c r="M90" s="33"/>
      <c r="N90" s="33"/>
      <c r="O90" s="33"/>
      <c r="P90" s="33"/>
      <c r="Q90" s="33"/>
      <c r="R90" s="33"/>
      <c r="S90" s="33"/>
      <c r="T90" s="33"/>
      <c r="U90" s="33"/>
      <c r="V90" s="6"/>
      <c r="W90" s="20"/>
      <c r="X90" s="42"/>
      <c r="Y90" s="46"/>
      <c r="Z90" s="46"/>
      <c r="AA90" s="43"/>
      <c r="AB90" s="43"/>
      <c r="AC90" s="43"/>
    </row>
    <row r="91" spans="1:29" ht="84.75" customHeight="1" x14ac:dyDescent="0.2">
      <c r="A91" s="24" t="s">
        <v>232</v>
      </c>
      <c r="B91" s="26" t="s">
        <v>287</v>
      </c>
      <c r="C91" s="29"/>
      <c r="D91" s="29" t="s">
        <v>242</v>
      </c>
      <c r="E91" s="29"/>
      <c r="F91" s="29" t="s">
        <v>228</v>
      </c>
      <c r="G91" s="39">
        <f t="shared" si="50"/>
        <v>163723.20000000001</v>
      </c>
      <c r="H91" s="33">
        <f>L91</f>
        <v>163723.20000000001</v>
      </c>
      <c r="I91" s="9"/>
      <c r="J91" s="6"/>
      <c r="K91" s="6">
        <f t="shared" si="54"/>
        <v>163723.20000000001</v>
      </c>
      <c r="L91" s="6">
        <v>163723.20000000001</v>
      </c>
      <c r="M91" s="33"/>
      <c r="N91" s="33"/>
      <c r="O91" s="33">
        <f>SUM(P91:R91)</f>
        <v>163723.20000000001</v>
      </c>
      <c r="P91" s="33">
        <v>163723.20000000001</v>
      </c>
      <c r="Q91" s="33"/>
      <c r="R91" s="33">
        <v>0</v>
      </c>
      <c r="S91" s="33">
        <f>SUM(T91:V91)</f>
        <v>0</v>
      </c>
      <c r="T91" s="33"/>
      <c r="U91" s="33"/>
      <c r="V91" s="6"/>
      <c r="W91" s="20">
        <f t="shared" si="53"/>
        <v>0</v>
      </c>
      <c r="X91" s="42"/>
      <c r="Y91" s="46"/>
      <c r="Z91" s="46"/>
      <c r="AA91" s="43"/>
      <c r="AB91" s="43"/>
      <c r="AC91" s="43"/>
    </row>
    <row r="92" spans="1:29" ht="40.5" customHeight="1" x14ac:dyDescent="0.2">
      <c r="A92" s="97">
        <v>4</v>
      </c>
      <c r="B92" s="97" t="s">
        <v>220</v>
      </c>
      <c r="C92" s="98"/>
      <c r="D92" s="98"/>
      <c r="E92" s="98"/>
      <c r="F92" s="98"/>
      <c r="G92" s="99">
        <f>H92+I92+J92</f>
        <v>2791</v>
      </c>
      <c r="H92" s="99">
        <f>H93+H96</f>
        <v>0</v>
      </c>
      <c r="I92" s="99">
        <f t="shared" ref="I92:J92" si="55">I93+I96</f>
        <v>2791</v>
      </c>
      <c r="J92" s="99">
        <f t="shared" si="55"/>
        <v>0</v>
      </c>
      <c r="K92" s="99">
        <f>L92+M92+N92</f>
        <v>2791</v>
      </c>
      <c r="L92" s="99">
        <f t="shared" ref="L92:N92" si="56">L93+L96</f>
        <v>0</v>
      </c>
      <c r="M92" s="99">
        <f t="shared" si="56"/>
        <v>2791</v>
      </c>
      <c r="N92" s="99">
        <f t="shared" si="56"/>
        <v>0</v>
      </c>
      <c r="O92" s="99">
        <f>P92+Q92+R92</f>
        <v>154.4</v>
      </c>
      <c r="P92" s="99">
        <f t="shared" ref="P92:R92" si="57">P93+P96</f>
        <v>0</v>
      </c>
      <c r="Q92" s="99">
        <f t="shared" si="57"/>
        <v>154.4</v>
      </c>
      <c r="R92" s="99">
        <f t="shared" si="57"/>
        <v>0</v>
      </c>
      <c r="S92" s="99">
        <f>T92+U92+V92</f>
        <v>154.4</v>
      </c>
      <c r="T92" s="99">
        <f t="shared" ref="T92:V92" si="58">T93+T96</f>
        <v>0</v>
      </c>
      <c r="U92" s="99">
        <f t="shared" si="58"/>
        <v>154.4</v>
      </c>
      <c r="V92" s="99">
        <f t="shared" si="58"/>
        <v>0</v>
      </c>
      <c r="W92" s="20">
        <f t="shared" si="53"/>
        <v>5.5320673593694014</v>
      </c>
      <c r="X92" s="42"/>
      <c r="Y92" s="46"/>
      <c r="Z92" s="46"/>
      <c r="AA92" s="43"/>
      <c r="AB92" s="43"/>
      <c r="AC92" s="43"/>
    </row>
    <row r="93" spans="1:29" ht="22.5" customHeight="1" x14ac:dyDescent="0.2">
      <c r="A93" s="112" t="s">
        <v>31</v>
      </c>
      <c r="B93" s="115" t="s">
        <v>266</v>
      </c>
      <c r="C93" s="29"/>
      <c r="D93" s="29"/>
      <c r="E93" s="29"/>
      <c r="F93" s="29"/>
      <c r="G93" s="9">
        <f t="shared" si="50"/>
        <v>2091</v>
      </c>
      <c r="H93" s="6">
        <f>SUM(H94:H95)</f>
        <v>0</v>
      </c>
      <c r="I93" s="6">
        <f t="shared" ref="I93:J93" si="59">SUM(I94:I95)</f>
        <v>2091</v>
      </c>
      <c r="J93" s="6">
        <f t="shared" si="59"/>
        <v>0</v>
      </c>
      <c r="K93" s="6">
        <f t="shared" si="54"/>
        <v>2091</v>
      </c>
      <c r="L93" s="6">
        <f t="shared" ref="L93:N93" si="60">SUM(L94:L95)</f>
        <v>0</v>
      </c>
      <c r="M93" s="33">
        <f t="shared" si="60"/>
        <v>2091</v>
      </c>
      <c r="N93" s="33">
        <f t="shared" si="60"/>
        <v>0</v>
      </c>
      <c r="O93" s="33">
        <f t="shared" ref="O93:O100" si="61">P93+Q93+R93</f>
        <v>154.4</v>
      </c>
      <c r="P93" s="33">
        <f t="shared" ref="P93:R93" si="62">SUM(P94:P95)</f>
        <v>0</v>
      </c>
      <c r="Q93" s="33">
        <f t="shared" si="62"/>
        <v>154.4</v>
      </c>
      <c r="R93" s="33">
        <f t="shared" si="62"/>
        <v>0</v>
      </c>
      <c r="S93" s="33">
        <f t="shared" ref="S93:S100" si="63">T93+U93+V93</f>
        <v>154.4</v>
      </c>
      <c r="T93" s="33">
        <f t="shared" ref="T93:V93" si="64">SUM(T94:T95)</f>
        <v>0</v>
      </c>
      <c r="U93" s="33">
        <f t="shared" si="64"/>
        <v>154.4</v>
      </c>
      <c r="V93" s="6">
        <f t="shared" si="64"/>
        <v>0</v>
      </c>
      <c r="W93" s="20">
        <f t="shared" si="53"/>
        <v>7.3840267814442848</v>
      </c>
      <c r="X93" s="42"/>
      <c r="Y93" s="46"/>
      <c r="Z93" s="46"/>
      <c r="AA93" s="43"/>
      <c r="AB93" s="43"/>
      <c r="AC93" s="43"/>
    </row>
    <row r="94" spans="1:29" ht="22.5" customHeight="1" x14ac:dyDescent="0.2">
      <c r="A94" s="113"/>
      <c r="B94" s="116"/>
      <c r="C94" s="29" t="s">
        <v>194</v>
      </c>
      <c r="D94" s="29"/>
      <c r="E94" s="29"/>
      <c r="F94" s="29" t="s">
        <v>56</v>
      </c>
      <c r="G94" s="9">
        <f t="shared" si="50"/>
        <v>2020.5</v>
      </c>
      <c r="H94" s="6"/>
      <c r="I94" s="6">
        <f t="shared" ref="I94:I95" si="65">M94</f>
        <v>2020.5</v>
      </c>
      <c r="J94" s="8"/>
      <c r="K94" s="6">
        <f t="shared" si="54"/>
        <v>2020.5</v>
      </c>
      <c r="L94" s="6"/>
      <c r="M94" s="33">
        <v>2020.5</v>
      </c>
      <c r="N94" s="33"/>
      <c r="O94" s="33">
        <f t="shared" si="61"/>
        <v>84</v>
      </c>
      <c r="P94" s="33"/>
      <c r="Q94" s="33">
        <v>84</v>
      </c>
      <c r="R94" s="33"/>
      <c r="S94" s="33">
        <f t="shared" si="63"/>
        <v>84</v>
      </c>
      <c r="T94" s="33"/>
      <c r="U94" s="33">
        <f>Q94</f>
        <v>84</v>
      </c>
      <c r="V94" s="6"/>
      <c r="W94" s="20"/>
      <c r="X94" s="42"/>
      <c r="Y94" s="46"/>
      <c r="Z94" s="46"/>
      <c r="AA94" s="43"/>
      <c r="AB94" s="43"/>
      <c r="AC94" s="43"/>
    </row>
    <row r="95" spans="1:29" ht="22.5" customHeight="1" x14ac:dyDescent="0.2">
      <c r="A95" s="114"/>
      <c r="B95" s="117"/>
      <c r="C95" s="24" t="s">
        <v>194</v>
      </c>
      <c r="D95" s="29"/>
      <c r="E95" s="29"/>
      <c r="F95" s="29" t="s">
        <v>65</v>
      </c>
      <c r="G95" s="9">
        <f t="shared" si="50"/>
        <v>70.5</v>
      </c>
      <c r="H95" s="6">
        <v>0</v>
      </c>
      <c r="I95" s="6">
        <f t="shared" si="65"/>
        <v>70.5</v>
      </c>
      <c r="J95" s="8"/>
      <c r="K95" s="6">
        <f t="shared" si="54"/>
        <v>70.5</v>
      </c>
      <c r="L95" s="6"/>
      <c r="M95" s="33">
        <v>70.5</v>
      </c>
      <c r="N95" s="33"/>
      <c r="O95" s="33">
        <f t="shared" si="61"/>
        <v>70.400000000000006</v>
      </c>
      <c r="P95" s="33"/>
      <c r="Q95" s="33">
        <f>70.4</f>
        <v>70.400000000000006</v>
      </c>
      <c r="R95" s="33"/>
      <c r="S95" s="33">
        <f t="shared" si="63"/>
        <v>70.400000000000006</v>
      </c>
      <c r="T95" s="33"/>
      <c r="U95" s="33">
        <f>Q95</f>
        <v>70.400000000000006</v>
      </c>
      <c r="V95" s="6"/>
      <c r="W95" s="20">
        <f t="shared" si="53"/>
        <v>99.858156028368811</v>
      </c>
      <c r="X95" s="42"/>
      <c r="Y95" s="46"/>
      <c r="Z95" s="46"/>
      <c r="AA95" s="43"/>
      <c r="AB95" s="43"/>
      <c r="AC95" s="43"/>
    </row>
    <row r="96" spans="1:29" s="43" customFormat="1" ht="35.25" customHeight="1" x14ac:dyDescent="0.2">
      <c r="A96" s="24" t="s">
        <v>57</v>
      </c>
      <c r="B96" s="26" t="s">
        <v>97</v>
      </c>
      <c r="C96" s="24" t="s">
        <v>216</v>
      </c>
      <c r="D96" s="24"/>
      <c r="E96" s="24"/>
      <c r="F96" s="24" t="s">
        <v>169</v>
      </c>
      <c r="G96" s="39">
        <f t="shared" si="50"/>
        <v>700</v>
      </c>
      <c r="H96" s="33"/>
      <c r="I96" s="6">
        <f t="shared" ref="I96" si="66">M96</f>
        <v>700</v>
      </c>
      <c r="J96" s="65"/>
      <c r="K96" s="33">
        <f>L96+M96+N96</f>
        <v>700</v>
      </c>
      <c r="L96" s="33"/>
      <c r="M96" s="33">
        <v>700</v>
      </c>
      <c r="N96" s="33"/>
      <c r="O96" s="33">
        <f t="shared" si="61"/>
        <v>0</v>
      </c>
      <c r="P96" s="33"/>
      <c r="Q96" s="33">
        <v>0</v>
      </c>
      <c r="R96" s="33"/>
      <c r="S96" s="33">
        <f t="shared" si="63"/>
        <v>0</v>
      </c>
      <c r="T96" s="33"/>
      <c r="U96" s="33">
        <v>0</v>
      </c>
      <c r="V96" s="33"/>
      <c r="W96" s="20">
        <f>S96*100/K96</f>
        <v>0</v>
      </c>
      <c r="X96" s="44"/>
      <c r="Y96" s="46"/>
      <c r="Z96" s="46"/>
    </row>
    <row r="97" spans="1:29" ht="40.5" customHeight="1" x14ac:dyDescent="0.2">
      <c r="A97" s="97">
        <v>5</v>
      </c>
      <c r="B97" s="97" t="s">
        <v>243</v>
      </c>
      <c r="C97" s="98"/>
      <c r="D97" s="98"/>
      <c r="E97" s="98"/>
      <c r="F97" s="98"/>
      <c r="G97" s="99">
        <f t="shared" si="50"/>
        <v>18000</v>
      </c>
      <c r="H97" s="99">
        <f>H98</f>
        <v>0</v>
      </c>
      <c r="I97" s="99">
        <f>I98</f>
        <v>18000</v>
      </c>
      <c r="J97" s="99">
        <f>J98</f>
        <v>0</v>
      </c>
      <c r="K97" s="99">
        <f>L97+M97+N97</f>
        <v>18000</v>
      </c>
      <c r="L97" s="99">
        <f>L98</f>
        <v>0</v>
      </c>
      <c r="M97" s="99">
        <f>M98</f>
        <v>18000</v>
      </c>
      <c r="N97" s="99">
        <f>N98</f>
        <v>0</v>
      </c>
      <c r="O97" s="99">
        <f t="shared" si="61"/>
        <v>7410</v>
      </c>
      <c r="P97" s="99">
        <f>P98</f>
        <v>0</v>
      </c>
      <c r="Q97" s="99">
        <f>Q98</f>
        <v>7410</v>
      </c>
      <c r="R97" s="99">
        <f>R98</f>
        <v>0</v>
      </c>
      <c r="S97" s="99">
        <f t="shared" si="63"/>
        <v>7410</v>
      </c>
      <c r="T97" s="99">
        <f>T98</f>
        <v>0</v>
      </c>
      <c r="U97" s="99">
        <f>U98</f>
        <v>7410</v>
      </c>
      <c r="V97" s="13">
        <f>V98</f>
        <v>0</v>
      </c>
      <c r="W97" s="20">
        <f>S97*100/K97</f>
        <v>41.166666666666664</v>
      </c>
      <c r="X97" s="42"/>
      <c r="Y97" s="46"/>
      <c r="Z97" s="46"/>
      <c r="AA97" s="43"/>
      <c r="AB97" s="43"/>
      <c r="AC97" s="43"/>
    </row>
    <row r="98" spans="1:29" ht="54" customHeight="1" x14ac:dyDescent="0.2">
      <c r="A98" s="71" t="s">
        <v>41</v>
      </c>
      <c r="B98" s="72" t="s">
        <v>267</v>
      </c>
      <c r="C98" s="29" t="s">
        <v>244</v>
      </c>
      <c r="D98" s="29"/>
      <c r="E98" s="29"/>
      <c r="F98" s="29" t="s">
        <v>65</v>
      </c>
      <c r="G98" s="39">
        <f t="shared" si="50"/>
        <v>18000</v>
      </c>
      <c r="H98" s="6"/>
      <c r="I98" s="6">
        <v>18000</v>
      </c>
      <c r="J98" s="8"/>
      <c r="K98" s="33">
        <f>L98+M98+N98</f>
        <v>18000</v>
      </c>
      <c r="L98" s="33"/>
      <c r="M98" s="33">
        <v>18000</v>
      </c>
      <c r="N98" s="33"/>
      <c r="O98" s="33">
        <f t="shared" si="61"/>
        <v>7410</v>
      </c>
      <c r="P98" s="33"/>
      <c r="Q98" s="33">
        <f>7410</f>
        <v>7410</v>
      </c>
      <c r="R98" s="33"/>
      <c r="S98" s="33">
        <f t="shared" si="63"/>
        <v>7410</v>
      </c>
      <c r="T98" s="33"/>
      <c r="U98" s="33">
        <f>Q98</f>
        <v>7410</v>
      </c>
      <c r="V98" s="33"/>
      <c r="W98" s="20"/>
      <c r="X98" s="42"/>
      <c r="Y98" s="46"/>
      <c r="Z98" s="46"/>
      <c r="AA98" s="43"/>
      <c r="AB98" s="43"/>
      <c r="AC98" s="43"/>
    </row>
    <row r="99" spans="1:29" ht="40.5" customHeight="1" x14ac:dyDescent="0.2">
      <c r="A99" s="97">
        <v>6</v>
      </c>
      <c r="B99" s="97" t="s">
        <v>245</v>
      </c>
      <c r="C99" s="98"/>
      <c r="D99" s="98"/>
      <c r="E99" s="98"/>
      <c r="F99" s="98"/>
      <c r="G99" s="99">
        <f t="shared" si="50"/>
        <v>6000</v>
      </c>
      <c r="H99" s="99">
        <f>H100</f>
        <v>5520</v>
      </c>
      <c r="I99" s="99">
        <f>I100</f>
        <v>480</v>
      </c>
      <c r="J99" s="99">
        <f>J100</f>
        <v>0</v>
      </c>
      <c r="K99" s="99">
        <f>L99+M99+N99</f>
        <v>6000</v>
      </c>
      <c r="L99" s="99">
        <f>L100</f>
        <v>5520</v>
      </c>
      <c r="M99" s="99">
        <f>M100</f>
        <v>480</v>
      </c>
      <c r="N99" s="99">
        <f>N100</f>
        <v>0</v>
      </c>
      <c r="O99" s="99">
        <f t="shared" si="61"/>
        <v>6000</v>
      </c>
      <c r="P99" s="99">
        <f>P100</f>
        <v>5520</v>
      </c>
      <c r="Q99" s="99">
        <f>Q100</f>
        <v>480</v>
      </c>
      <c r="R99" s="99">
        <f>R100</f>
        <v>0</v>
      </c>
      <c r="S99" s="99">
        <f t="shared" si="63"/>
        <v>6000</v>
      </c>
      <c r="T99" s="99">
        <f>T100</f>
        <v>5520</v>
      </c>
      <c r="U99" s="99">
        <f>U100</f>
        <v>480</v>
      </c>
      <c r="V99" s="13">
        <f>V100</f>
        <v>0</v>
      </c>
      <c r="W99" s="20">
        <f>S99*100/K99</f>
        <v>100</v>
      </c>
      <c r="X99" s="42"/>
      <c r="Y99" s="46"/>
      <c r="Z99" s="46"/>
      <c r="AA99" s="43"/>
      <c r="AB99" s="43"/>
      <c r="AC99" s="43"/>
    </row>
    <row r="100" spans="1:29" ht="81.75" customHeight="1" x14ac:dyDescent="0.2">
      <c r="A100" s="71" t="s">
        <v>42</v>
      </c>
      <c r="B100" s="72" t="s">
        <v>268</v>
      </c>
      <c r="C100" s="29" t="s">
        <v>246</v>
      </c>
      <c r="D100" s="29" t="s">
        <v>246</v>
      </c>
      <c r="E100" s="29"/>
      <c r="F100" s="29" t="s">
        <v>65</v>
      </c>
      <c r="G100" s="39">
        <f t="shared" si="50"/>
        <v>6000</v>
      </c>
      <c r="H100" s="6">
        <f>L100</f>
        <v>5520</v>
      </c>
      <c r="I100" s="6">
        <f>M100</f>
        <v>480</v>
      </c>
      <c r="J100" s="8"/>
      <c r="K100" s="33">
        <f>L100+M100+N100</f>
        <v>6000</v>
      </c>
      <c r="L100" s="33">
        <v>5520</v>
      </c>
      <c r="M100" s="33">
        <v>480</v>
      </c>
      <c r="N100" s="33"/>
      <c r="O100" s="33">
        <f t="shared" si="61"/>
        <v>6000</v>
      </c>
      <c r="P100" s="33">
        <v>5520</v>
      </c>
      <c r="Q100" s="33">
        <v>480</v>
      </c>
      <c r="R100" s="33"/>
      <c r="S100" s="33">
        <f t="shared" si="63"/>
        <v>6000</v>
      </c>
      <c r="T100" s="33">
        <f>P100</f>
        <v>5520</v>
      </c>
      <c r="U100" s="33">
        <f>Q100</f>
        <v>480</v>
      </c>
      <c r="V100" s="33"/>
      <c r="W100" s="20"/>
      <c r="X100" s="42"/>
      <c r="Y100" s="46"/>
      <c r="Z100" s="46"/>
      <c r="AA100" s="43"/>
      <c r="AB100" s="43"/>
      <c r="AC100" s="43"/>
    </row>
    <row r="101" spans="1:29" ht="19.5" hidden="1" customHeight="1" x14ac:dyDescent="0.2">
      <c r="A101" s="71"/>
      <c r="B101" s="70"/>
      <c r="C101" s="29"/>
      <c r="D101" s="29"/>
      <c r="E101" s="29"/>
      <c r="F101" s="29"/>
      <c r="G101" s="9"/>
      <c r="H101" s="6"/>
      <c r="I101" s="6"/>
      <c r="J101" s="8"/>
      <c r="K101" s="6"/>
      <c r="L101" s="6"/>
      <c r="M101" s="92"/>
      <c r="N101" s="6"/>
      <c r="O101" s="6"/>
      <c r="P101" s="92"/>
      <c r="Q101" s="92"/>
      <c r="R101" s="6"/>
      <c r="S101" s="6"/>
      <c r="T101" s="92"/>
      <c r="U101" s="92"/>
      <c r="V101" s="6"/>
      <c r="W101" s="20"/>
      <c r="X101" s="42"/>
      <c r="Y101" s="46"/>
      <c r="Z101" s="46"/>
      <c r="AA101" s="43"/>
      <c r="AB101" s="43"/>
      <c r="AC101" s="43"/>
    </row>
    <row r="102" spans="1:29" ht="19.5" hidden="1" customHeight="1" x14ac:dyDescent="0.2">
      <c r="A102" s="71"/>
      <c r="B102" s="70"/>
      <c r="C102" s="29"/>
      <c r="D102" s="29"/>
      <c r="E102" s="29"/>
      <c r="F102" s="29"/>
      <c r="G102" s="9"/>
      <c r="H102" s="6"/>
      <c r="I102" s="6"/>
      <c r="J102" s="8"/>
      <c r="K102" s="6"/>
      <c r="L102" s="6"/>
      <c r="M102" s="92"/>
      <c r="N102" s="6"/>
      <c r="O102" s="6"/>
      <c r="P102" s="92"/>
      <c r="Q102" s="92"/>
      <c r="R102" s="6"/>
      <c r="S102" s="6"/>
      <c r="T102" s="92"/>
      <c r="U102" s="92"/>
      <c r="V102" s="6"/>
      <c r="W102" s="20"/>
      <c r="X102" s="42"/>
      <c r="Y102" s="46"/>
      <c r="Z102" s="46"/>
      <c r="AA102" s="43"/>
      <c r="AB102" s="43"/>
      <c r="AC102" s="43"/>
    </row>
    <row r="103" spans="1:29" ht="19.5" hidden="1" customHeight="1" x14ac:dyDescent="0.2">
      <c r="A103" s="71"/>
      <c r="B103" s="70"/>
      <c r="C103" s="29"/>
      <c r="D103" s="29"/>
      <c r="E103" s="29"/>
      <c r="F103" s="29"/>
      <c r="G103" s="9"/>
      <c r="H103" s="6"/>
      <c r="I103" s="6"/>
      <c r="J103" s="8"/>
      <c r="K103" s="6"/>
      <c r="L103" s="6"/>
      <c r="M103" s="92"/>
      <c r="N103" s="6"/>
      <c r="O103" s="6"/>
      <c r="P103" s="92"/>
      <c r="Q103" s="92"/>
      <c r="R103" s="6"/>
      <c r="S103" s="6"/>
      <c r="T103" s="92"/>
      <c r="U103" s="92"/>
      <c r="V103" s="6"/>
      <c r="W103" s="20"/>
      <c r="X103" s="42"/>
      <c r="Y103" s="46"/>
      <c r="Z103" s="46"/>
      <c r="AA103" s="43"/>
      <c r="AB103" s="43"/>
      <c r="AC103" s="43"/>
    </row>
    <row r="104" spans="1:29" ht="19.5" hidden="1" customHeight="1" x14ac:dyDescent="0.2">
      <c r="A104" s="71"/>
      <c r="B104" s="70"/>
      <c r="C104" s="29"/>
      <c r="D104" s="29"/>
      <c r="E104" s="29"/>
      <c r="F104" s="29"/>
      <c r="G104" s="9"/>
      <c r="H104" s="6"/>
      <c r="I104" s="6"/>
      <c r="J104" s="8"/>
      <c r="K104" s="6"/>
      <c r="L104" s="6"/>
      <c r="M104" s="92"/>
      <c r="N104" s="6"/>
      <c r="O104" s="6"/>
      <c r="P104" s="92"/>
      <c r="Q104" s="92"/>
      <c r="R104" s="6"/>
      <c r="S104" s="6"/>
      <c r="T104" s="92"/>
      <c r="U104" s="92"/>
      <c r="V104" s="6"/>
      <c r="W104" s="20"/>
      <c r="X104" s="42"/>
      <c r="Y104" s="46"/>
      <c r="Z104" s="46"/>
      <c r="AA104" s="43"/>
      <c r="AB104" s="43"/>
      <c r="AC104" s="43"/>
    </row>
    <row r="105" spans="1:29" s="43" customFormat="1" ht="35.25" hidden="1" customHeight="1" x14ac:dyDescent="0.2">
      <c r="A105" s="24"/>
      <c r="B105" s="26"/>
      <c r="C105" s="24"/>
      <c r="D105" s="24"/>
      <c r="E105" s="24"/>
      <c r="F105" s="24"/>
      <c r="G105" s="39"/>
      <c r="H105" s="33"/>
      <c r="I105" s="33"/>
      <c r="J105" s="65"/>
      <c r="K105" s="33"/>
      <c r="L105" s="33"/>
      <c r="M105" s="92"/>
      <c r="N105" s="33"/>
      <c r="O105" s="33"/>
      <c r="P105" s="92"/>
      <c r="Q105" s="92"/>
      <c r="R105" s="33"/>
      <c r="S105" s="33"/>
      <c r="T105" s="92"/>
      <c r="U105" s="92"/>
      <c r="V105" s="33"/>
      <c r="W105" s="20"/>
      <c r="X105" s="44"/>
      <c r="Y105" s="46"/>
      <c r="Z105" s="46"/>
    </row>
    <row r="106" spans="1:29" ht="37.5" customHeight="1" x14ac:dyDescent="0.2">
      <c r="A106" s="128" t="s">
        <v>144</v>
      </c>
      <c r="B106" s="128"/>
      <c r="C106" s="28"/>
      <c r="D106" s="28"/>
      <c r="E106" s="28"/>
      <c r="F106" s="28"/>
      <c r="G106" s="14">
        <f t="shared" ref="G106:G119" si="67">H106+I106+J106</f>
        <v>18840.400000000001</v>
      </c>
      <c r="H106" s="14">
        <f>H107+H114+H119+H123+H125+H128</f>
        <v>0</v>
      </c>
      <c r="I106" s="14">
        <f>I107+I114+I119+I123+I125+I128</f>
        <v>18840.400000000001</v>
      </c>
      <c r="J106" s="14">
        <f>J107+J114+J119+J123+J125+J128</f>
        <v>0</v>
      </c>
      <c r="K106" s="14">
        <f>L106+M106+N106</f>
        <v>18840.400000000001</v>
      </c>
      <c r="L106" s="14">
        <f>L107+L114+L119+L123+L125+L128</f>
        <v>0</v>
      </c>
      <c r="M106" s="14">
        <f>M107+M114+M119+M123+M125+M128</f>
        <v>18840.400000000001</v>
      </c>
      <c r="N106" s="14">
        <f>N107+N114+N119+N123+N125+N128</f>
        <v>0</v>
      </c>
      <c r="O106" s="14">
        <f>P106+Q106+R106</f>
        <v>14060</v>
      </c>
      <c r="P106" s="14">
        <f>P107+P114+P119+P123+P125+P128</f>
        <v>0</v>
      </c>
      <c r="Q106" s="14">
        <f>Q107+Q114+Q119+Q123+Q125+Q128</f>
        <v>14060</v>
      </c>
      <c r="R106" s="14">
        <f>R107+R114+R119+R123+R125+R128</f>
        <v>0</v>
      </c>
      <c r="S106" s="14">
        <f>T106+U106+V106</f>
        <v>14051.9</v>
      </c>
      <c r="T106" s="14">
        <f>T107+T114+T119+T123+T125+T128</f>
        <v>0</v>
      </c>
      <c r="U106" s="14">
        <f>U107+U114+U119+U123+U125+U128</f>
        <v>14051.9</v>
      </c>
      <c r="V106" s="14">
        <f>V107+V114+V119+V123+V125+V128</f>
        <v>0</v>
      </c>
      <c r="W106" s="20">
        <f t="shared" si="53"/>
        <v>74.583872953865097</v>
      </c>
      <c r="X106" s="42"/>
      <c r="Y106" s="46"/>
      <c r="Z106" s="46"/>
      <c r="AA106" s="43"/>
      <c r="AB106" s="43"/>
      <c r="AC106" s="43"/>
    </row>
    <row r="107" spans="1:29" ht="50.25" customHeight="1" x14ac:dyDescent="0.2">
      <c r="A107" s="97">
        <v>1</v>
      </c>
      <c r="B107" s="97" t="s">
        <v>20</v>
      </c>
      <c r="C107" s="98"/>
      <c r="D107" s="98"/>
      <c r="E107" s="98"/>
      <c r="F107" s="98"/>
      <c r="G107" s="99">
        <f t="shared" si="67"/>
        <v>450</v>
      </c>
      <c r="H107" s="99">
        <f>H108</f>
        <v>0</v>
      </c>
      <c r="I107" s="99">
        <f t="shared" ref="I107:J107" si="68">I108</f>
        <v>450</v>
      </c>
      <c r="J107" s="99">
        <f t="shared" si="68"/>
        <v>0</v>
      </c>
      <c r="K107" s="99">
        <f>L107+M107+N107</f>
        <v>450</v>
      </c>
      <c r="L107" s="99">
        <f t="shared" ref="L107:N107" si="69">L108</f>
        <v>0</v>
      </c>
      <c r="M107" s="99">
        <f t="shared" si="69"/>
        <v>450</v>
      </c>
      <c r="N107" s="99">
        <f t="shared" si="69"/>
        <v>0</v>
      </c>
      <c r="O107" s="99">
        <f>P107+Q107+R107</f>
        <v>307.5</v>
      </c>
      <c r="P107" s="99">
        <f t="shared" ref="P107:R107" si="70">P108</f>
        <v>0</v>
      </c>
      <c r="Q107" s="99">
        <f t="shared" si="70"/>
        <v>307.5</v>
      </c>
      <c r="R107" s="99">
        <f t="shared" si="70"/>
        <v>0</v>
      </c>
      <c r="S107" s="99">
        <f>T107+U107+V107</f>
        <v>307.5</v>
      </c>
      <c r="T107" s="99">
        <f t="shared" ref="T107:V107" si="71">T108</f>
        <v>0</v>
      </c>
      <c r="U107" s="99">
        <f t="shared" si="71"/>
        <v>307.5</v>
      </c>
      <c r="V107" s="13">
        <f t="shared" si="71"/>
        <v>0</v>
      </c>
      <c r="W107" s="20">
        <f t="shared" si="53"/>
        <v>68.333333333333329</v>
      </c>
      <c r="X107" s="42"/>
      <c r="Y107" s="46"/>
      <c r="Z107" s="46"/>
      <c r="AA107" s="43"/>
      <c r="AB107" s="43"/>
      <c r="AC107" s="43"/>
    </row>
    <row r="108" spans="1:29" ht="19.5" customHeight="1" x14ac:dyDescent="0.2">
      <c r="A108" s="112" t="s">
        <v>26</v>
      </c>
      <c r="B108" s="115" t="s">
        <v>145</v>
      </c>
      <c r="C108" s="29" t="s">
        <v>195</v>
      </c>
      <c r="D108" s="29"/>
      <c r="E108" s="29"/>
      <c r="F108" s="29"/>
      <c r="G108" s="9">
        <f t="shared" si="67"/>
        <v>450</v>
      </c>
      <c r="H108" s="6">
        <f>SUM(H109:H113)</f>
        <v>0</v>
      </c>
      <c r="I108" s="6">
        <f t="shared" ref="I108:J108" si="72">SUM(I109:I113)</f>
        <v>450</v>
      </c>
      <c r="J108" s="6">
        <f t="shared" si="72"/>
        <v>0</v>
      </c>
      <c r="K108" s="6">
        <f t="shared" ref="K108:K113" si="73">SUM(L108:N108)</f>
        <v>450</v>
      </c>
      <c r="L108" s="33">
        <f t="shared" ref="L108:N108" si="74">SUM(L109:L113)</f>
        <v>0</v>
      </c>
      <c r="M108" s="39">
        <f t="shared" si="74"/>
        <v>450</v>
      </c>
      <c r="N108" s="33">
        <f t="shared" si="74"/>
        <v>0</v>
      </c>
      <c r="O108" s="33">
        <f t="shared" ref="O108:O113" si="75">SUM(P108:R108)</f>
        <v>307.5</v>
      </c>
      <c r="P108" s="33">
        <f t="shared" ref="P108:R108" si="76">SUM(P109:P113)</f>
        <v>0</v>
      </c>
      <c r="Q108" s="33">
        <f t="shared" si="76"/>
        <v>307.5</v>
      </c>
      <c r="R108" s="33">
        <f t="shared" si="76"/>
        <v>0</v>
      </c>
      <c r="S108" s="33">
        <f t="shared" ref="S108:S113" si="77">SUM(T108:V108)</f>
        <v>307.5</v>
      </c>
      <c r="T108" s="33">
        <f t="shared" ref="T108:V108" si="78">SUM(T109:T113)</f>
        <v>0</v>
      </c>
      <c r="U108" s="33">
        <f t="shared" si="78"/>
        <v>307.5</v>
      </c>
      <c r="V108" s="33">
        <f t="shared" si="78"/>
        <v>0</v>
      </c>
      <c r="W108" s="20">
        <f t="shared" si="53"/>
        <v>68.333333333333329</v>
      </c>
      <c r="X108" s="42"/>
      <c r="Y108" s="46"/>
      <c r="Z108" s="46"/>
      <c r="AA108" s="43"/>
      <c r="AB108" s="43"/>
      <c r="AC108" s="43"/>
    </row>
    <row r="109" spans="1:29" ht="19.5" customHeight="1" x14ac:dyDescent="0.2">
      <c r="A109" s="113"/>
      <c r="B109" s="116"/>
      <c r="C109" s="29" t="s">
        <v>195</v>
      </c>
      <c r="D109" s="29"/>
      <c r="E109" s="29"/>
      <c r="F109" s="29" t="s">
        <v>169</v>
      </c>
      <c r="G109" s="9">
        <f t="shared" ref="G109" si="79">H109+I109+J109</f>
        <v>140</v>
      </c>
      <c r="H109" s="6">
        <v>0</v>
      </c>
      <c r="I109" s="9">
        <f>M109</f>
        <v>140</v>
      </c>
      <c r="J109" s="6">
        <v>0</v>
      </c>
      <c r="K109" s="6">
        <f t="shared" si="73"/>
        <v>140</v>
      </c>
      <c r="L109" s="33"/>
      <c r="M109" s="39">
        <v>140</v>
      </c>
      <c r="N109" s="33"/>
      <c r="O109" s="33">
        <f t="shared" si="75"/>
        <v>0</v>
      </c>
      <c r="P109" s="33"/>
      <c r="Q109" s="33">
        <v>0</v>
      </c>
      <c r="R109" s="33"/>
      <c r="S109" s="33">
        <f t="shared" si="77"/>
        <v>0</v>
      </c>
      <c r="T109" s="33"/>
      <c r="U109" s="33">
        <v>0</v>
      </c>
      <c r="V109" s="33"/>
      <c r="W109" s="20"/>
      <c r="X109" s="42"/>
      <c r="Y109" s="46"/>
      <c r="Z109" s="46"/>
      <c r="AA109" s="43"/>
      <c r="AB109" s="43"/>
      <c r="AC109" s="43"/>
    </row>
    <row r="110" spans="1:29" ht="19.5" customHeight="1" x14ac:dyDescent="0.2">
      <c r="A110" s="113"/>
      <c r="B110" s="116"/>
      <c r="C110" s="29" t="s">
        <v>195</v>
      </c>
      <c r="D110" s="29"/>
      <c r="E110" s="29"/>
      <c r="F110" s="29" t="s">
        <v>67</v>
      </c>
      <c r="G110" s="9">
        <f t="shared" si="67"/>
        <v>107.5</v>
      </c>
      <c r="H110" s="6">
        <v>0</v>
      </c>
      <c r="I110" s="9">
        <f t="shared" ref="I110:I113" si="80">M110</f>
        <v>107.5</v>
      </c>
      <c r="J110" s="6">
        <v>0</v>
      </c>
      <c r="K110" s="6">
        <f t="shared" si="73"/>
        <v>107.5</v>
      </c>
      <c r="L110" s="33"/>
      <c r="M110" s="39">
        <v>107.5</v>
      </c>
      <c r="N110" s="33"/>
      <c r="O110" s="33">
        <f t="shared" si="75"/>
        <v>105</v>
      </c>
      <c r="P110" s="33"/>
      <c r="Q110" s="33">
        <v>105</v>
      </c>
      <c r="R110" s="33"/>
      <c r="S110" s="33">
        <f t="shared" si="77"/>
        <v>105</v>
      </c>
      <c r="T110" s="33"/>
      <c r="U110" s="33">
        <v>105</v>
      </c>
      <c r="V110" s="33"/>
      <c r="W110" s="20">
        <f t="shared" si="53"/>
        <v>97.674418604651166</v>
      </c>
      <c r="X110" s="42"/>
      <c r="Y110" s="46"/>
      <c r="Z110" s="46"/>
      <c r="AA110" s="43"/>
      <c r="AB110" s="43"/>
      <c r="AC110" s="43"/>
    </row>
    <row r="111" spans="1:29" ht="19.5" customHeight="1" x14ac:dyDescent="0.2">
      <c r="A111" s="113"/>
      <c r="B111" s="116"/>
      <c r="C111" s="29" t="s">
        <v>195</v>
      </c>
      <c r="D111" s="29"/>
      <c r="E111" s="29"/>
      <c r="F111" s="29" t="s">
        <v>66</v>
      </c>
      <c r="G111" s="9">
        <f t="shared" si="67"/>
        <v>157.5</v>
      </c>
      <c r="H111" s="6">
        <v>0</v>
      </c>
      <c r="I111" s="9">
        <f t="shared" si="80"/>
        <v>157.5</v>
      </c>
      <c r="J111" s="6">
        <v>0</v>
      </c>
      <c r="K111" s="6">
        <f t="shared" si="73"/>
        <v>157.5</v>
      </c>
      <c r="L111" s="33"/>
      <c r="M111" s="39">
        <v>157.5</v>
      </c>
      <c r="N111" s="33"/>
      <c r="O111" s="33">
        <f t="shared" si="75"/>
        <v>157.5</v>
      </c>
      <c r="P111" s="33"/>
      <c r="Q111" s="33">
        <v>157.5</v>
      </c>
      <c r="R111" s="33"/>
      <c r="S111" s="33">
        <f t="shared" si="77"/>
        <v>157.5</v>
      </c>
      <c r="T111" s="33"/>
      <c r="U111" s="33">
        <v>157.5</v>
      </c>
      <c r="V111" s="33"/>
      <c r="W111" s="20">
        <f t="shared" si="53"/>
        <v>100</v>
      </c>
      <c r="X111" s="42"/>
      <c r="Y111" s="46"/>
      <c r="Z111" s="46"/>
      <c r="AA111" s="43"/>
      <c r="AB111" s="43"/>
      <c r="AC111" s="43"/>
    </row>
    <row r="112" spans="1:29" ht="19.5" customHeight="1" x14ac:dyDescent="0.2">
      <c r="A112" s="113"/>
      <c r="B112" s="116"/>
      <c r="C112" s="29" t="s">
        <v>195</v>
      </c>
      <c r="D112" s="29"/>
      <c r="E112" s="29"/>
      <c r="F112" s="29" t="s">
        <v>63</v>
      </c>
      <c r="G112" s="9">
        <f t="shared" si="67"/>
        <v>17.5</v>
      </c>
      <c r="H112" s="6"/>
      <c r="I112" s="9">
        <f t="shared" si="80"/>
        <v>17.5</v>
      </c>
      <c r="J112" s="6"/>
      <c r="K112" s="6">
        <f t="shared" si="73"/>
        <v>17.5</v>
      </c>
      <c r="L112" s="33"/>
      <c r="M112" s="39">
        <v>17.5</v>
      </c>
      <c r="N112" s="33"/>
      <c r="O112" s="33">
        <f t="shared" si="75"/>
        <v>17.5</v>
      </c>
      <c r="P112" s="33"/>
      <c r="Q112" s="33">
        <v>17.5</v>
      </c>
      <c r="R112" s="33"/>
      <c r="S112" s="33">
        <f t="shared" si="77"/>
        <v>17.5</v>
      </c>
      <c r="T112" s="33"/>
      <c r="U112" s="33">
        <v>17.5</v>
      </c>
      <c r="V112" s="33"/>
      <c r="W112" s="20">
        <f t="shared" si="53"/>
        <v>100</v>
      </c>
      <c r="X112" s="42"/>
      <c r="Y112" s="46"/>
      <c r="Z112" s="46"/>
      <c r="AA112" s="43"/>
      <c r="AB112" s="43"/>
      <c r="AC112" s="43"/>
    </row>
    <row r="113" spans="1:29" ht="19.5" customHeight="1" x14ac:dyDescent="0.2">
      <c r="A113" s="114"/>
      <c r="B113" s="117"/>
      <c r="C113" s="29" t="s">
        <v>195</v>
      </c>
      <c r="D113" s="29"/>
      <c r="E113" s="29"/>
      <c r="F113" s="29" t="s">
        <v>233</v>
      </c>
      <c r="G113" s="9">
        <f t="shared" si="67"/>
        <v>27.5</v>
      </c>
      <c r="H113" s="6">
        <v>0</v>
      </c>
      <c r="I113" s="9">
        <f t="shared" si="80"/>
        <v>27.5</v>
      </c>
      <c r="J113" s="6">
        <v>0</v>
      </c>
      <c r="K113" s="6">
        <f t="shared" si="73"/>
        <v>27.5</v>
      </c>
      <c r="L113" s="33"/>
      <c r="M113" s="39">
        <v>27.5</v>
      </c>
      <c r="N113" s="33"/>
      <c r="O113" s="33">
        <f t="shared" si="75"/>
        <v>27.5</v>
      </c>
      <c r="P113" s="33"/>
      <c r="Q113" s="33">
        <v>27.5</v>
      </c>
      <c r="R113" s="33"/>
      <c r="S113" s="33">
        <f t="shared" si="77"/>
        <v>27.5</v>
      </c>
      <c r="T113" s="33"/>
      <c r="U113" s="33">
        <f>Q113</f>
        <v>27.5</v>
      </c>
      <c r="V113" s="33"/>
      <c r="W113" s="20">
        <f t="shared" si="53"/>
        <v>100</v>
      </c>
      <c r="X113" s="42"/>
      <c r="Y113" s="46"/>
      <c r="Z113" s="46"/>
      <c r="AA113" s="43"/>
      <c r="AB113" s="43"/>
      <c r="AC113" s="43"/>
    </row>
    <row r="114" spans="1:29" ht="52.5" customHeight="1" x14ac:dyDescent="0.2">
      <c r="A114" s="97">
        <v>2</v>
      </c>
      <c r="B114" s="97" t="s">
        <v>87</v>
      </c>
      <c r="C114" s="98"/>
      <c r="D114" s="98"/>
      <c r="E114" s="98"/>
      <c r="F114" s="98"/>
      <c r="G114" s="99">
        <f t="shared" si="67"/>
        <v>3863.4</v>
      </c>
      <c r="H114" s="99">
        <f>H115</f>
        <v>0</v>
      </c>
      <c r="I114" s="99">
        <f t="shared" ref="I114:J114" si="81">I115</f>
        <v>3863.4</v>
      </c>
      <c r="J114" s="99">
        <f t="shared" si="81"/>
        <v>0</v>
      </c>
      <c r="K114" s="99">
        <f>L114+M114+N114</f>
        <v>3863.4</v>
      </c>
      <c r="L114" s="99">
        <f t="shared" ref="L114:N114" si="82">L115</f>
        <v>0</v>
      </c>
      <c r="M114" s="99">
        <f t="shared" si="82"/>
        <v>3863.4</v>
      </c>
      <c r="N114" s="99">
        <f t="shared" si="82"/>
        <v>0</v>
      </c>
      <c r="O114" s="99">
        <f>P114+Q114+R114</f>
        <v>1515.4</v>
      </c>
      <c r="P114" s="99">
        <f t="shared" ref="P114:R114" si="83">P115</f>
        <v>0</v>
      </c>
      <c r="Q114" s="99">
        <f t="shared" si="83"/>
        <v>1515.4</v>
      </c>
      <c r="R114" s="99">
        <f t="shared" si="83"/>
        <v>0</v>
      </c>
      <c r="S114" s="99">
        <f>T114+U114+V114</f>
        <v>1507.3</v>
      </c>
      <c r="T114" s="99">
        <f t="shared" ref="T114:V114" si="84">T115</f>
        <v>0</v>
      </c>
      <c r="U114" s="99">
        <f t="shared" si="84"/>
        <v>1507.3</v>
      </c>
      <c r="V114" s="13">
        <f t="shared" si="84"/>
        <v>0</v>
      </c>
      <c r="W114" s="20">
        <f t="shared" si="53"/>
        <v>39.014857379510275</v>
      </c>
      <c r="X114" s="42"/>
      <c r="Y114" s="46"/>
      <c r="Z114" s="46"/>
      <c r="AA114" s="43"/>
      <c r="AB114" s="43"/>
      <c r="AC114" s="43"/>
    </row>
    <row r="115" spans="1:29" ht="20.25" customHeight="1" x14ac:dyDescent="0.2">
      <c r="A115" s="118" t="s">
        <v>29</v>
      </c>
      <c r="B115" s="115" t="s">
        <v>146</v>
      </c>
      <c r="C115" s="29" t="s">
        <v>196</v>
      </c>
      <c r="D115" s="29"/>
      <c r="E115" s="29"/>
      <c r="F115" s="29"/>
      <c r="G115" s="9">
        <f t="shared" si="67"/>
        <v>3863.4</v>
      </c>
      <c r="H115" s="9">
        <f>SUM(H116:H118)</f>
        <v>0</v>
      </c>
      <c r="I115" s="9">
        <f t="shared" ref="I115:J115" si="85">SUM(I116:I118)</f>
        <v>3863.4</v>
      </c>
      <c r="J115" s="9">
        <f t="shared" si="85"/>
        <v>0</v>
      </c>
      <c r="K115" s="9">
        <f>L115+M115+N115</f>
        <v>3863.4</v>
      </c>
      <c r="L115" s="9">
        <f t="shared" ref="L115:N115" si="86">SUM(L116:L118)</f>
        <v>0</v>
      </c>
      <c r="M115" s="39">
        <f t="shared" si="86"/>
        <v>3863.4</v>
      </c>
      <c r="N115" s="9">
        <f t="shared" si="86"/>
        <v>0</v>
      </c>
      <c r="O115" s="33">
        <f>P115+Q115+R115</f>
        <v>1515.4</v>
      </c>
      <c r="P115" s="33">
        <f t="shared" ref="P115:R115" si="87">SUM(P116:P118)</f>
        <v>0</v>
      </c>
      <c r="Q115" s="33">
        <f t="shared" si="87"/>
        <v>1515.4</v>
      </c>
      <c r="R115" s="33">
        <f t="shared" si="87"/>
        <v>0</v>
      </c>
      <c r="S115" s="33">
        <f>T115+U115+V115</f>
        <v>1507.3</v>
      </c>
      <c r="T115" s="33">
        <f t="shared" ref="T115:V115" si="88">SUM(T116:T118)</f>
        <v>0</v>
      </c>
      <c r="U115" s="33">
        <f t="shared" si="88"/>
        <v>1507.3</v>
      </c>
      <c r="V115" s="6">
        <f t="shared" si="88"/>
        <v>0</v>
      </c>
      <c r="W115" s="20">
        <f t="shared" si="53"/>
        <v>39.014857379510275</v>
      </c>
      <c r="X115" s="42"/>
      <c r="Y115" s="46"/>
      <c r="Z115" s="46"/>
      <c r="AA115" s="43"/>
      <c r="AB115" s="43"/>
      <c r="AC115" s="43"/>
    </row>
    <row r="116" spans="1:29" ht="20.25" customHeight="1" x14ac:dyDescent="0.2">
      <c r="A116" s="119"/>
      <c r="B116" s="116"/>
      <c r="C116" s="29" t="s">
        <v>196</v>
      </c>
      <c r="D116" s="29"/>
      <c r="E116" s="29"/>
      <c r="F116" s="29" t="s">
        <v>169</v>
      </c>
      <c r="G116" s="9">
        <f t="shared" ref="G116" si="89">H116+I116+J116</f>
        <v>2200</v>
      </c>
      <c r="H116" s="9"/>
      <c r="I116" s="9">
        <f>M116</f>
        <v>2200</v>
      </c>
      <c r="J116" s="9"/>
      <c r="K116" s="9">
        <f>L116+M116+N116</f>
        <v>2200</v>
      </c>
      <c r="L116" s="9"/>
      <c r="M116" s="39">
        <v>2200</v>
      </c>
      <c r="N116" s="9"/>
      <c r="O116" s="33">
        <f>P116+Q116+R116</f>
        <v>800.4</v>
      </c>
      <c r="P116" s="33"/>
      <c r="Q116" s="33">
        <f>800.4</f>
        <v>800.4</v>
      </c>
      <c r="R116" s="33"/>
      <c r="S116" s="33">
        <f>T116+U116+V116</f>
        <v>792.3</v>
      </c>
      <c r="T116" s="33"/>
      <c r="U116" s="33">
        <f>792.3</f>
        <v>792.3</v>
      </c>
      <c r="V116" s="6"/>
      <c r="W116" s="20"/>
      <c r="X116" s="42"/>
      <c r="Y116" s="46"/>
      <c r="Z116" s="46"/>
      <c r="AA116" s="43"/>
      <c r="AB116" s="43"/>
      <c r="AC116" s="43"/>
    </row>
    <row r="117" spans="1:29" ht="20.25" customHeight="1" x14ac:dyDescent="0.2">
      <c r="A117" s="119"/>
      <c r="B117" s="116"/>
      <c r="C117" s="29" t="s">
        <v>196</v>
      </c>
      <c r="D117" s="29"/>
      <c r="E117" s="29"/>
      <c r="F117" s="29" t="s">
        <v>56</v>
      </c>
      <c r="G117" s="9">
        <f t="shared" si="67"/>
        <v>500</v>
      </c>
      <c r="H117" s="9"/>
      <c r="I117" s="9">
        <f t="shared" ref="I117:I118" si="90">M117</f>
        <v>500</v>
      </c>
      <c r="J117" s="9"/>
      <c r="K117" s="9">
        <f t="shared" ref="K117" si="91">L117+M117+N117</f>
        <v>500</v>
      </c>
      <c r="L117" s="9"/>
      <c r="M117" s="39">
        <v>500</v>
      </c>
      <c r="N117" s="9"/>
      <c r="O117" s="33">
        <f>P117+Q117+R117</f>
        <v>0</v>
      </c>
      <c r="P117" s="33"/>
      <c r="Q117" s="33">
        <v>0</v>
      </c>
      <c r="R117" s="33"/>
      <c r="S117" s="33">
        <f>T117+U117+V117</f>
        <v>0</v>
      </c>
      <c r="T117" s="33"/>
      <c r="U117" s="33">
        <v>0</v>
      </c>
      <c r="V117" s="6"/>
      <c r="W117" s="20"/>
      <c r="X117" s="42"/>
      <c r="Y117" s="46"/>
      <c r="Z117" s="46"/>
      <c r="AA117" s="43"/>
      <c r="AB117" s="43"/>
      <c r="AC117" s="43"/>
    </row>
    <row r="118" spans="1:29" ht="20.25" customHeight="1" x14ac:dyDescent="0.2">
      <c r="A118" s="120"/>
      <c r="B118" s="117"/>
      <c r="C118" s="29" t="s">
        <v>196</v>
      </c>
      <c r="D118" s="29"/>
      <c r="E118" s="29"/>
      <c r="F118" s="29" t="s">
        <v>54</v>
      </c>
      <c r="G118" s="9">
        <f t="shared" si="67"/>
        <v>1163.4000000000001</v>
      </c>
      <c r="H118" s="11"/>
      <c r="I118" s="9">
        <f t="shared" si="90"/>
        <v>1163.4000000000001</v>
      </c>
      <c r="J118" s="12"/>
      <c r="K118" s="9">
        <f>L118+M118+N118</f>
        <v>1163.4000000000001</v>
      </c>
      <c r="L118" s="9"/>
      <c r="M118" s="39">
        <v>1163.4000000000001</v>
      </c>
      <c r="N118" s="11"/>
      <c r="O118" s="33">
        <f>SUM(P118:R118)</f>
        <v>715</v>
      </c>
      <c r="P118" s="33"/>
      <c r="Q118" s="33">
        <f>715</f>
        <v>715</v>
      </c>
      <c r="R118" s="33"/>
      <c r="S118" s="33">
        <f>SUM(T118:V118)</f>
        <v>715</v>
      </c>
      <c r="T118" s="33"/>
      <c r="U118" s="33">
        <f>715000/1000</f>
        <v>715</v>
      </c>
      <c r="V118" s="6"/>
      <c r="W118" s="20">
        <f t="shared" si="53"/>
        <v>61.457796114835823</v>
      </c>
      <c r="X118" s="42"/>
      <c r="Y118" s="46"/>
      <c r="Z118" s="46"/>
      <c r="AA118" s="43"/>
      <c r="AB118" s="43"/>
      <c r="AC118" s="43"/>
    </row>
    <row r="119" spans="1:29" ht="57.75" customHeight="1" x14ac:dyDescent="0.2">
      <c r="A119" s="97">
        <v>3</v>
      </c>
      <c r="B119" s="97" t="s">
        <v>21</v>
      </c>
      <c r="C119" s="98"/>
      <c r="D119" s="98"/>
      <c r="E119" s="98"/>
      <c r="F119" s="98"/>
      <c r="G119" s="99">
        <f t="shared" si="67"/>
        <v>1080</v>
      </c>
      <c r="H119" s="99">
        <f>SUM(H120:H122)</f>
        <v>0</v>
      </c>
      <c r="I119" s="99">
        <f>SUM(I120:I122)</f>
        <v>1080</v>
      </c>
      <c r="J119" s="99">
        <f>SUM(J120:J122)</f>
        <v>0</v>
      </c>
      <c r="K119" s="99">
        <f>L119+M119+N119</f>
        <v>1080</v>
      </c>
      <c r="L119" s="99">
        <f>SUM(L120:L122)</f>
        <v>0</v>
      </c>
      <c r="M119" s="99">
        <f>SUM(M120:M122)</f>
        <v>1080</v>
      </c>
      <c r="N119" s="99">
        <f>SUM(N120:N122)</f>
        <v>0</v>
      </c>
      <c r="O119" s="99">
        <f>P119+Q119+R119</f>
        <v>200</v>
      </c>
      <c r="P119" s="99">
        <f>SUM(P120:P122)</f>
        <v>0</v>
      </c>
      <c r="Q119" s="99">
        <f>SUM(Q120:Q122)</f>
        <v>200</v>
      </c>
      <c r="R119" s="99">
        <f>SUM(R120:R122)</f>
        <v>0</v>
      </c>
      <c r="S119" s="99">
        <f>T119+U119+V119</f>
        <v>200</v>
      </c>
      <c r="T119" s="99">
        <f>SUM(T120:T122)</f>
        <v>0</v>
      </c>
      <c r="U119" s="99">
        <f>SUM(U120:U122)</f>
        <v>200</v>
      </c>
      <c r="V119" s="13">
        <f>SUM(V120:V122)</f>
        <v>0</v>
      </c>
      <c r="W119" s="20">
        <f t="shared" si="53"/>
        <v>18.518518518518519</v>
      </c>
      <c r="X119" s="42"/>
      <c r="Y119" s="46"/>
      <c r="Z119" s="46"/>
      <c r="AA119" s="43"/>
      <c r="AB119" s="43"/>
      <c r="AC119" s="43"/>
    </row>
    <row r="120" spans="1:29" ht="48.75" customHeight="1" x14ac:dyDescent="0.2">
      <c r="A120" s="118" t="s">
        <v>30</v>
      </c>
      <c r="B120" s="115" t="s">
        <v>88</v>
      </c>
      <c r="C120" s="29" t="s">
        <v>197</v>
      </c>
      <c r="D120" s="29"/>
      <c r="E120" s="29"/>
      <c r="F120" s="29" t="s">
        <v>54</v>
      </c>
      <c r="G120" s="9">
        <f t="shared" ref="G120:G141" si="92">H120+I120+J120</f>
        <v>1080</v>
      </c>
      <c r="H120" s="6">
        <v>0</v>
      </c>
      <c r="I120" s="39">
        <f>M120</f>
        <v>1080</v>
      </c>
      <c r="J120" s="33">
        <v>0</v>
      </c>
      <c r="K120" s="33">
        <f>SUM(L120:N120)</f>
        <v>1080</v>
      </c>
      <c r="L120" s="33"/>
      <c r="M120" s="39">
        <v>1080</v>
      </c>
      <c r="N120" s="33"/>
      <c r="O120" s="33">
        <f>SUM(P120:R120)</f>
        <v>200</v>
      </c>
      <c r="P120" s="33"/>
      <c r="Q120" s="33">
        <f>200</f>
        <v>200</v>
      </c>
      <c r="R120" s="33"/>
      <c r="S120" s="33">
        <f>SUM(T120:V120)</f>
        <v>200</v>
      </c>
      <c r="T120" s="33"/>
      <c r="U120" s="33">
        <f>Q120</f>
        <v>200</v>
      </c>
      <c r="V120" s="33"/>
      <c r="W120" s="20">
        <f t="shared" si="53"/>
        <v>18.518518518518519</v>
      </c>
      <c r="X120" s="42"/>
      <c r="Y120" s="46"/>
      <c r="Z120" s="46"/>
      <c r="AA120" s="43"/>
      <c r="AB120" s="43"/>
      <c r="AC120" s="43"/>
    </row>
    <row r="121" spans="1:29" ht="24" hidden="1" customHeight="1" x14ac:dyDescent="0.2">
      <c r="A121" s="120"/>
      <c r="B121" s="117"/>
      <c r="C121" s="29" t="s">
        <v>89</v>
      </c>
      <c r="D121" s="29"/>
      <c r="E121" s="29"/>
      <c r="F121" s="29" t="s">
        <v>56</v>
      </c>
      <c r="G121" s="9">
        <f t="shared" si="92"/>
        <v>0</v>
      </c>
      <c r="H121" s="6"/>
      <c r="I121" s="39"/>
      <c r="J121" s="33"/>
      <c r="K121" s="33">
        <f>SUM(L121:N121)</f>
        <v>0</v>
      </c>
      <c r="L121" s="33"/>
      <c r="M121" s="39"/>
      <c r="N121" s="33"/>
      <c r="O121" s="33">
        <f>SUM(P121:R121)</f>
        <v>0</v>
      </c>
      <c r="P121" s="33"/>
      <c r="Q121" s="33">
        <f>U121</f>
        <v>0</v>
      </c>
      <c r="R121" s="33"/>
      <c r="S121" s="33">
        <f>SUM(T121:V121)</f>
        <v>0</v>
      </c>
      <c r="T121" s="33"/>
      <c r="U121" s="33">
        <v>0</v>
      </c>
      <c r="V121" s="33"/>
      <c r="W121" s="20" t="e">
        <f t="shared" si="53"/>
        <v>#DIV/0!</v>
      </c>
      <c r="X121" s="42"/>
      <c r="Y121" s="46"/>
      <c r="Z121" s="46"/>
      <c r="AA121" s="43"/>
      <c r="AB121" s="43"/>
      <c r="AC121" s="43"/>
    </row>
    <row r="122" spans="1:29" ht="51.75" hidden="1" customHeight="1" x14ac:dyDescent="0.2">
      <c r="A122" s="32" t="s">
        <v>81</v>
      </c>
      <c r="B122" s="73" t="s">
        <v>247</v>
      </c>
      <c r="C122" s="24"/>
      <c r="D122" s="24"/>
      <c r="E122" s="24"/>
      <c r="F122" s="24"/>
      <c r="G122" s="39">
        <f t="shared" si="92"/>
        <v>0</v>
      </c>
      <c r="H122" s="33"/>
      <c r="I122" s="39"/>
      <c r="J122" s="33"/>
      <c r="K122" s="33">
        <f>SUM(L122:N122)</f>
        <v>0</v>
      </c>
      <c r="L122" s="33"/>
      <c r="M122" s="108"/>
      <c r="N122" s="33"/>
      <c r="O122" s="33">
        <f>SUM(P122:R122)</f>
        <v>0</v>
      </c>
      <c r="P122" s="33"/>
      <c r="Q122" s="33"/>
      <c r="R122" s="33"/>
      <c r="S122" s="33">
        <f>SUM(T122:V122)</f>
        <v>0</v>
      </c>
      <c r="T122" s="33"/>
      <c r="U122" s="33"/>
      <c r="V122" s="33"/>
      <c r="W122" s="20" t="e">
        <f t="shared" si="53"/>
        <v>#DIV/0!</v>
      </c>
      <c r="X122" s="42"/>
      <c r="Y122" s="46"/>
      <c r="Z122" s="46"/>
      <c r="AA122" s="43"/>
      <c r="AB122" s="43"/>
      <c r="AC122" s="43"/>
    </row>
    <row r="123" spans="1:29" ht="51.75" customHeight="1" x14ac:dyDescent="0.2">
      <c r="A123" s="97">
        <v>4</v>
      </c>
      <c r="B123" s="97" t="s">
        <v>147</v>
      </c>
      <c r="C123" s="98"/>
      <c r="D123" s="98"/>
      <c r="E123" s="98"/>
      <c r="F123" s="98"/>
      <c r="G123" s="99">
        <f>H123+I123+J123</f>
        <v>7000</v>
      </c>
      <c r="H123" s="99">
        <f>H124</f>
        <v>0</v>
      </c>
      <c r="I123" s="99">
        <f>I124</f>
        <v>7000</v>
      </c>
      <c r="J123" s="99">
        <f>J124</f>
        <v>0</v>
      </c>
      <c r="K123" s="99">
        <f>L123+M123+N123</f>
        <v>7000</v>
      </c>
      <c r="L123" s="99">
        <f>L124</f>
        <v>0</v>
      </c>
      <c r="M123" s="99">
        <f>M124</f>
        <v>7000</v>
      </c>
      <c r="N123" s="99">
        <f>N124</f>
        <v>0</v>
      </c>
      <c r="O123" s="99">
        <f>P123+Q123+R123</f>
        <v>6997.3</v>
      </c>
      <c r="P123" s="99">
        <f>P124</f>
        <v>0</v>
      </c>
      <c r="Q123" s="99">
        <f>Q124</f>
        <v>6997.3</v>
      </c>
      <c r="R123" s="99">
        <f>R124</f>
        <v>0</v>
      </c>
      <c r="S123" s="99">
        <f>T123+U123+V123</f>
        <v>6997.3</v>
      </c>
      <c r="T123" s="99">
        <f>T124</f>
        <v>0</v>
      </c>
      <c r="U123" s="99">
        <f>U124</f>
        <v>6997.3</v>
      </c>
      <c r="V123" s="13">
        <f>V124</f>
        <v>0</v>
      </c>
      <c r="W123" s="20">
        <f t="shared" si="53"/>
        <v>99.96142857142857</v>
      </c>
      <c r="X123" s="42"/>
      <c r="Y123" s="46"/>
      <c r="Z123" s="46"/>
      <c r="AA123" s="43"/>
      <c r="AB123" s="43"/>
      <c r="AC123" s="43"/>
    </row>
    <row r="124" spans="1:29" ht="51.75" customHeight="1" x14ac:dyDescent="0.2">
      <c r="A124" s="24" t="s">
        <v>31</v>
      </c>
      <c r="B124" s="26" t="s">
        <v>90</v>
      </c>
      <c r="C124" s="29" t="s">
        <v>198</v>
      </c>
      <c r="D124" s="29"/>
      <c r="E124" s="29"/>
      <c r="F124" s="29" t="s">
        <v>54</v>
      </c>
      <c r="G124" s="9">
        <f>H124+I124+J124</f>
        <v>7000</v>
      </c>
      <c r="H124" s="9"/>
      <c r="I124" s="9">
        <f>M124</f>
        <v>7000</v>
      </c>
      <c r="J124" s="9"/>
      <c r="K124" s="9">
        <f>L124+M124+N124</f>
        <v>7000</v>
      </c>
      <c r="L124" s="9"/>
      <c r="M124" s="39">
        <v>7000</v>
      </c>
      <c r="N124" s="39"/>
      <c r="O124" s="33">
        <f>P124+Q124+R124</f>
        <v>6997.3</v>
      </c>
      <c r="P124" s="33"/>
      <c r="Q124" s="33">
        <f>6997.3</f>
        <v>6997.3</v>
      </c>
      <c r="R124" s="33"/>
      <c r="S124" s="33">
        <f>T124+U124+V124</f>
        <v>6997.3</v>
      </c>
      <c r="T124" s="33"/>
      <c r="U124" s="33">
        <f>Q124</f>
        <v>6997.3</v>
      </c>
      <c r="V124" s="6"/>
      <c r="W124" s="20">
        <f t="shared" si="53"/>
        <v>99.96142857142857</v>
      </c>
      <c r="X124" s="42"/>
      <c r="Y124" s="46"/>
      <c r="Z124" s="46"/>
      <c r="AA124" s="43"/>
      <c r="AB124" s="43"/>
      <c r="AC124" s="43"/>
    </row>
    <row r="125" spans="1:29" ht="51.75" customHeight="1" x14ac:dyDescent="0.2">
      <c r="A125" s="22" t="s">
        <v>12</v>
      </c>
      <c r="B125" s="23" t="s">
        <v>150</v>
      </c>
      <c r="C125" s="30"/>
      <c r="D125" s="30"/>
      <c r="E125" s="30"/>
      <c r="F125" s="30"/>
      <c r="G125" s="13">
        <f>H125+I125+J125</f>
        <v>4000</v>
      </c>
      <c r="H125" s="13">
        <f>SUM(H126:H127)</f>
        <v>0</v>
      </c>
      <c r="I125" s="13">
        <f>SUM(I126:I127)</f>
        <v>4000</v>
      </c>
      <c r="J125" s="13">
        <f>SUM(J126:J127)</f>
        <v>0</v>
      </c>
      <c r="K125" s="99">
        <f>L125+M125+N125</f>
        <v>4000</v>
      </c>
      <c r="L125" s="99">
        <f>SUM(L126:L127)</f>
        <v>0</v>
      </c>
      <c r="M125" s="99">
        <f>SUM(M126:M127)</f>
        <v>4000</v>
      </c>
      <c r="N125" s="99">
        <f>SUM(N126:N127)</f>
        <v>0</v>
      </c>
      <c r="O125" s="99">
        <f>P125+Q125+R125</f>
        <v>2616.4</v>
      </c>
      <c r="P125" s="99">
        <f>SUM(P126:P127)</f>
        <v>0</v>
      </c>
      <c r="Q125" s="99">
        <f>SUM(Q126:Q127)</f>
        <v>2616.4</v>
      </c>
      <c r="R125" s="99">
        <f>SUM(R126:R127)</f>
        <v>0</v>
      </c>
      <c r="S125" s="99">
        <f>T125+U125+V125</f>
        <v>2616.4</v>
      </c>
      <c r="T125" s="99">
        <f>SUM(T126:T127)</f>
        <v>0</v>
      </c>
      <c r="U125" s="99">
        <f>SUM(U126:U127)</f>
        <v>2616.4</v>
      </c>
      <c r="V125" s="13">
        <f>SUM(V126:V127)</f>
        <v>0</v>
      </c>
      <c r="W125" s="20">
        <f t="shared" si="53"/>
        <v>65.41</v>
      </c>
      <c r="X125" s="42"/>
      <c r="Y125" s="46"/>
      <c r="Z125" s="46"/>
      <c r="AA125" s="43"/>
      <c r="AB125" s="43"/>
      <c r="AC125" s="43"/>
    </row>
    <row r="126" spans="1:29" ht="42" customHeight="1" x14ac:dyDescent="0.2">
      <c r="A126" s="24" t="s">
        <v>41</v>
      </c>
      <c r="B126" s="26" t="s">
        <v>149</v>
      </c>
      <c r="C126" s="29" t="s">
        <v>199</v>
      </c>
      <c r="D126" s="29"/>
      <c r="E126" s="29"/>
      <c r="F126" s="29" t="s">
        <v>55</v>
      </c>
      <c r="G126" s="9">
        <f>SUM(H126:J126)</f>
        <v>800</v>
      </c>
      <c r="H126" s="9"/>
      <c r="I126" s="9">
        <f>M126</f>
        <v>800</v>
      </c>
      <c r="J126" s="9"/>
      <c r="K126" s="9">
        <f>SUM(L126:N126)</f>
        <v>800</v>
      </c>
      <c r="L126" s="9"/>
      <c r="M126" s="39">
        <v>800</v>
      </c>
      <c r="N126" s="39"/>
      <c r="O126" s="33">
        <f>SUM(P126:R126)</f>
        <v>800</v>
      </c>
      <c r="P126" s="33"/>
      <c r="Q126" s="33">
        <v>800</v>
      </c>
      <c r="R126" s="33"/>
      <c r="S126" s="33">
        <f>SUM(T126:V126)</f>
        <v>800</v>
      </c>
      <c r="T126" s="33"/>
      <c r="U126" s="33">
        <f>Q126</f>
        <v>800</v>
      </c>
      <c r="V126" s="6"/>
      <c r="W126" s="20">
        <f t="shared" si="53"/>
        <v>100</v>
      </c>
      <c r="X126" s="42"/>
      <c r="Y126" s="46"/>
      <c r="Z126" s="46"/>
      <c r="AA126" s="43"/>
      <c r="AB126" s="43"/>
      <c r="AC126" s="43"/>
    </row>
    <row r="127" spans="1:29" ht="42" customHeight="1" x14ac:dyDescent="0.2">
      <c r="A127" s="24" t="s">
        <v>148</v>
      </c>
      <c r="B127" s="26" t="s">
        <v>151</v>
      </c>
      <c r="C127" s="29" t="s">
        <v>200</v>
      </c>
      <c r="D127" s="29"/>
      <c r="E127" s="29"/>
      <c r="F127" s="29" t="s">
        <v>233</v>
      </c>
      <c r="G127" s="9">
        <f>SUM(H127:J127)</f>
        <v>3200</v>
      </c>
      <c r="H127" s="9"/>
      <c r="I127" s="9">
        <f>M127</f>
        <v>3200</v>
      </c>
      <c r="J127" s="9"/>
      <c r="K127" s="9">
        <f>SUM(L127:N127)</f>
        <v>3200</v>
      </c>
      <c r="L127" s="9"/>
      <c r="M127" s="39">
        <v>3200</v>
      </c>
      <c r="N127" s="39"/>
      <c r="O127" s="33">
        <f>SUM(P127:R127)</f>
        <v>1816.4</v>
      </c>
      <c r="P127" s="33"/>
      <c r="Q127" s="33">
        <f>1816.4</f>
        <v>1816.4</v>
      </c>
      <c r="R127" s="33"/>
      <c r="S127" s="33">
        <f>SUM(T127:V127)</f>
        <v>1816.4</v>
      </c>
      <c r="T127" s="33"/>
      <c r="U127" s="33">
        <f>Q127</f>
        <v>1816.4</v>
      </c>
      <c r="V127" s="6"/>
      <c r="W127" s="20"/>
      <c r="X127" s="42"/>
      <c r="Y127" s="46"/>
      <c r="Z127" s="46"/>
      <c r="AA127" s="43"/>
      <c r="AB127" s="43"/>
      <c r="AC127" s="43"/>
    </row>
    <row r="128" spans="1:29" ht="51.75" customHeight="1" x14ac:dyDescent="0.2">
      <c r="A128" s="22" t="s">
        <v>14</v>
      </c>
      <c r="B128" s="23" t="s">
        <v>248</v>
      </c>
      <c r="C128" s="30"/>
      <c r="D128" s="30"/>
      <c r="E128" s="30"/>
      <c r="F128" s="30"/>
      <c r="G128" s="13">
        <f>H128+I128+J128</f>
        <v>2447</v>
      </c>
      <c r="H128" s="13">
        <f>H129+H130</f>
        <v>0</v>
      </c>
      <c r="I128" s="13">
        <f>I129+I130</f>
        <v>2447</v>
      </c>
      <c r="J128" s="13">
        <f>J129+J130</f>
        <v>0</v>
      </c>
      <c r="K128" s="99">
        <f>L128+M128+N128</f>
        <v>2447</v>
      </c>
      <c r="L128" s="99">
        <f>L129+L130</f>
        <v>0</v>
      </c>
      <c r="M128" s="99">
        <f>M129+M130</f>
        <v>2447</v>
      </c>
      <c r="N128" s="99">
        <f>N129+N130</f>
        <v>0</v>
      </c>
      <c r="O128" s="99">
        <f>P128+Q128+R128</f>
        <v>2423.4</v>
      </c>
      <c r="P128" s="99">
        <f>P129+P130</f>
        <v>0</v>
      </c>
      <c r="Q128" s="99">
        <f>Q129+Q130</f>
        <v>2423.4</v>
      </c>
      <c r="R128" s="99">
        <f>R129+R130</f>
        <v>0</v>
      </c>
      <c r="S128" s="99">
        <f>T128+U128+V128</f>
        <v>2423.4</v>
      </c>
      <c r="T128" s="99">
        <f>T129+T130</f>
        <v>0</v>
      </c>
      <c r="U128" s="99">
        <f>U129+U130</f>
        <v>2423.4</v>
      </c>
      <c r="V128" s="13">
        <f>V129+V130</f>
        <v>0</v>
      </c>
      <c r="W128" s="20">
        <f>S128*100/K128</f>
        <v>99.035553739272572</v>
      </c>
      <c r="X128" s="42"/>
      <c r="Y128" s="46"/>
      <c r="Z128" s="46"/>
      <c r="AA128" s="43"/>
      <c r="AB128" s="43"/>
      <c r="AC128" s="43"/>
    </row>
    <row r="129" spans="1:29" s="43" customFormat="1" ht="37.5" hidden="1" customHeight="1" x14ac:dyDescent="0.2">
      <c r="A129" s="125" t="s">
        <v>42</v>
      </c>
      <c r="B129" s="115" t="s">
        <v>249</v>
      </c>
      <c r="C129" s="29" t="s">
        <v>250</v>
      </c>
      <c r="D129" s="24"/>
      <c r="E129" s="24"/>
      <c r="F129" s="24" t="s">
        <v>169</v>
      </c>
      <c r="G129" s="78">
        <f>H129+I129+J129</f>
        <v>0</v>
      </c>
      <c r="H129" s="78"/>
      <c r="I129" s="39">
        <f>M129</f>
        <v>0</v>
      </c>
      <c r="J129" s="78"/>
      <c r="K129" s="9">
        <f>SUM(L129:N129)</f>
        <v>0</v>
      </c>
      <c r="L129" s="78"/>
      <c r="M129" s="78"/>
      <c r="N129" s="78"/>
      <c r="O129" s="78"/>
      <c r="P129" s="78"/>
      <c r="Q129" s="78">
        <v>0</v>
      </c>
      <c r="R129" s="78"/>
      <c r="S129" s="78"/>
      <c r="T129" s="78"/>
      <c r="U129" s="78">
        <v>0</v>
      </c>
      <c r="V129" s="78"/>
      <c r="W129" s="75"/>
      <c r="X129" s="44"/>
      <c r="Y129" s="76"/>
      <c r="Z129" s="76"/>
    </row>
    <row r="130" spans="1:29" ht="39.75" customHeight="1" x14ac:dyDescent="0.2">
      <c r="A130" s="127"/>
      <c r="B130" s="117"/>
      <c r="C130" s="29" t="s">
        <v>250</v>
      </c>
      <c r="D130" s="29"/>
      <c r="E130" s="29"/>
      <c r="F130" s="29" t="s">
        <v>54</v>
      </c>
      <c r="G130" s="9">
        <f>H130+I130+J130</f>
        <v>2447</v>
      </c>
      <c r="H130" s="9"/>
      <c r="I130" s="39">
        <f>M130</f>
        <v>2447</v>
      </c>
      <c r="J130" s="9"/>
      <c r="K130" s="9">
        <f>SUM(L130:N130)</f>
        <v>2447</v>
      </c>
      <c r="L130" s="9"/>
      <c r="M130" s="39">
        <v>2447</v>
      </c>
      <c r="N130" s="39"/>
      <c r="O130" s="33">
        <f>SUM(P130:R130)</f>
        <v>2423.4</v>
      </c>
      <c r="P130" s="33"/>
      <c r="Q130" s="33">
        <f>2423.4</f>
        <v>2423.4</v>
      </c>
      <c r="R130" s="33"/>
      <c r="S130" s="33">
        <f>SUM(T130:V130)</f>
        <v>2423.4</v>
      </c>
      <c r="T130" s="33"/>
      <c r="U130" s="33">
        <f>Q130</f>
        <v>2423.4</v>
      </c>
      <c r="V130" s="6"/>
      <c r="W130" s="20">
        <f t="shared" si="53"/>
        <v>99.035553739272572</v>
      </c>
      <c r="X130" s="42"/>
      <c r="Y130" s="46"/>
      <c r="Z130" s="46"/>
      <c r="AA130" s="43"/>
      <c r="AB130" s="43"/>
      <c r="AC130" s="43"/>
    </row>
    <row r="131" spans="1:29" ht="43.5" customHeight="1" x14ac:dyDescent="0.2">
      <c r="A131" s="128" t="s">
        <v>152</v>
      </c>
      <c r="B131" s="128"/>
      <c r="C131" s="28"/>
      <c r="D131" s="28"/>
      <c r="E131" s="28"/>
      <c r="F131" s="28"/>
      <c r="G131" s="14">
        <f>H131+I131+J131</f>
        <v>5190</v>
      </c>
      <c r="H131" s="10">
        <f>H132+H134+H140+H142</f>
        <v>0</v>
      </c>
      <c r="I131" s="10">
        <f>I132+I134+I140+I142</f>
        <v>5190</v>
      </c>
      <c r="J131" s="10">
        <f>J132+J134+J140+J142</f>
        <v>0</v>
      </c>
      <c r="K131" s="10">
        <f t="shared" ref="K131:K140" si="93">L131+M131+N131</f>
        <v>5190</v>
      </c>
      <c r="L131" s="10">
        <f>L132+L134+L140+L142</f>
        <v>0</v>
      </c>
      <c r="M131" s="10">
        <f>M132+M134+M140+M142</f>
        <v>5190</v>
      </c>
      <c r="N131" s="10">
        <f>N132+N134+N140+N142</f>
        <v>0</v>
      </c>
      <c r="O131" s="10">
        <f>P131+Q131+R131</f>
        <v>4852.0999999999995</v>
      </c>
      <c r="P131" s="10">
        <f>P132+P134+P140+P142</f>
        <v>0</v>
      </c>
      <c r="Q131" s="10">
        <f>Q132+Q134+Q140+Q142</f>
        <v>4852.0999999999995</v>
      </c>
      <c r="R131" s="10">
        <f>R132+R134+R140+R142</f>
        <v>0</v>
      </c>
      <c r="S131" s="10">
        <f>T131+U131+V131</f>
        <v>4852.0999999999995</v>
      </c>
      <c r="T131" s="10">
        <f>T132+T134+T140+T142</f>
        <v>0</v>
      </c>
      <c r="U131" s="10">
        <f>U132+U134+U140+U142</f>
        <v>4852.0999999999995</v>
      </c>
      <c r="V131" s="10">
        <f>V132+V134+V140+V142</f>
        <v>0</v>
      </c>
      <c r="W131" s="20">
        <f t="shared" si="53"/>
        <v>93.489402697495166</v>
      </c>
      <c r="X131" s="42"/>
      <c r="Y131" s="68"/>
      <c r="Z131" s="46"/>
      <c r="AA131" s="43"/>
      <c r="AB131" s="43"/>
      <c r="AC131" s="43"/>
    </row>
    <row r="132" spans="1:29" ht="46.5" customHeight="1" x14ac:dyDescent="0.2">
      <c r="A132" s="23">
        <v>1</v>
      </c>
      <c r="B132" s="23" t="s">
        <v>22</v>
      </c>
      <c r="C132" s="30"/>
      <c r="D132" s="30"/>
      <c r="E132" s="30"/>
      <c r="F132" s="30"/>
      <c r="G132" s="13">
        <f t="shared" si="92"/>
        <v>4000</v>
      </c>
      <c r="H132" s="13">
        <f>H133</f>
        <v>0</v>
      </c>
      <c r="I132" s="13">
        <f>I133</f>
        <v>4000</v>
      </c>
      <c r="J132" s="13">
        <f>J133</f>
        <v>0</v>
      </c>
      <c r="K132" s="99">
        <f t="shared" si="93"/>
        <v>4000</v>
      </c>
      <c r="L132" s="99">
        <f>L133</f>
        <v>0</v>
      </c>
      <c r="M132" s="99">
        <f>M133</f>
        <v>4000</v>
      </c>
      <c r="N132" s="99">
        <f>N133</f>
        <v>0</v>
      </c>
      <c r="O132" s="99">
        <f>P132+Q132+R132</f>
        <v>4000</v>
      </c>
      <c r="P132" s="99">
        <f>P133</f>
        <v>0</v>
      </c>
      <c r="Q132" s="99">
        <f>Q133</f>
        <v>4000</v>
      </c>
      <c r="R132" s="99">
        <f>R133</f>
        <v>0</v>
      </c>
      <c r="S132" s="99">
        <f>T132+U132+V132</f>
        <v>4000</v>
      </c>
      <c r="T132" s="99">
        <f>T133</f>
        <v>0</v>
      </c>
      <c r="U132" s="99">
        <f>U133</f>
        <v>4000</v>
      </c>
      <c r="V132" s="13">
        <f>V133</f>
        <v>0</v>
      </c>
      <c r="W132" s="20">
        <f t="shared" si="53"/>
        <v>100</v>
      </c>
      <c r="X132" s="42"/>
      <c r="Y132" s="68"/>
      <c r="Z132" s="46"/>
      <c r="AA132" s="43"/>
      <c r="AB132" s="43"/>
      <c r="AC132" s="43"/>
    </row>
    <row r="133" spans="1:29" ht="39.75" customHeight="1" x14ac:dyDescent="0.2">
      <c r="A133" s="24" t="s">
        <v>26</v>
      </c>
      <c r="B133" s="26" t="s">
        <v>153</v>
      </c>
      <c r="C133" s="29" t="s">
        <v>201</v>
      </c>
      <c r="D133" s="29"/>
      <c r="E133" s="29"/>
      <c r="F133" s="29" t="s">
        <v>233</v>
      </c>
      <c r="G133" s="9">
        <f t="shared" si="92"/>
        <v>4000</v>
      </c>
      <c r="H133" s="6">
        <v>0</v>
      </c>
      <c r="I133" s="9">
        <f>M133</f>
        <v>4000</v>
      </c>
      <c r="J133" s="8">
        <v>0</v>
      </c>
      <c r="K133" s="6">
        <f t="shared" si="93"/>
        <v>4000</v>
      </c>
      <c r="L133" s="33">
        <v>0</v>
      </c>
      <c r="M133" s="33">
        <v>4000</v>
      </c>
      <c r="N133" s="33">
        <v>0</v>
      </c>
      <c r="O133" s="33">
        <f>P133+Q133+R133</f>
        <v>4000</v>
      </c>
      <c r="P133" s="33">
        <v>0</v>
      </c>
      <c r="Q133" s="33">
        <v>4000</v>
      </c>
      <c r="R133" s="33">
        <v>0</v>
      </c>
      <c r="S133" s="33">
        <f>T133+U133+V133</f>
        <v>4000</v>
      </c>
      <c r="T133" s="33">
        <v>0</v>
      </c>
      <c r="U133" s="33">
        <f>Q133</f>
        <v>4000</v>
      </c>
      <c r="V133" s="33">
        <v>0</v>
      </c>
      <c r="W133" s="20">
        <f t="shared" si="53"/>
        <v>100</v>
      </c>
      <c r="X133" s="42"/>
      <c r="Y133" s="68"/>
      <c r="Z133" s="68"/>
      <c r="AA133" s="43"/>
      <c r="AB133" s="43"/>
      <c r="AC133" s="43"/>
    </row>
    <row r="134" spans="1:29" ht="37.5" customHeight="1" x14ac:dyDescent="0.2">
      <c r="A134" s="23">
        <v>2</v>
      </c>
      <c r="B134" s="97" t="s">
        <v>154</v>
      </c>
      <c r="C134" s="98"/>
      <c r="D134" s="98"/>
      <c r="E134" s="98"/>
      <c r="F134" s="98"/>
      <c r="G134" s="99">
        <f t="shared" si="92"/>
        <v>790</v>
      </c>
      <c r="H134" s="99">
        <f>H135</f>
        <v>0</v>
      </c>
      <c r="I134" s="99">
        <f t="shared" ref="I134:J134" si="94">I135</f>
        <v>790</v>
      </c>
      <c r="J134" s="99">
        <f t="shared" si="94"/>
        <v>0</v>
      </c>
      <c r="K134" s="99">
        <f t="shared" si="93"/>
        <v>790</v>
      </c>
      <c r="L134" s="99">
        <f t="shared" ref="L134:N134" si="95">L135</f>
        <v>0</v>
      </c>
      <c r="M134" s="99">
        <f t="shared" si="95"/>
        <v>790</v>
      </c>
      <c r="N134" s="99">
        <f t="shared" si="95"/>
        <v>0</v>
      </c>
      <c r="O134" s="99">
        <f>P134+Q134+R134</f>
        <v>789.9</v>
      </c>
      <c r="P134" s="99">
        <f t="shared" ref="P134:R134" si="96">P135</f>
        <v>0</v>
      </c>
      <c r="Q134" s="99">
        <f t="shared" si="96"/>
        <v>789.9</v>
      </c>
      <c r="R134" s="99">
        <f t="shared" si="96"/>
        <v>0</v>
      </c>
      <c r="S134" s="99">
        <f>T134+U134+V134</f>
        <v>789.9</v>
      </c>
      <c r="T134" s="99">
        <f t="shared" ref="T134:V134" si="97">T135</f>
        <v>0</v>
      </c>
      <c r="U134" s="99">
        <f t="shared" si="97"/>
        <v>789.9</v>
      </c>
      <c r="V134" s="13">
        <f t="shared" si="97"/>
        <v>0</v>
      </c>
      <c r="W134" s="20">
        <f t="shared" si="53"/>
        <v>99.987341772151893</v>
      </c>
      <c r="X134" s="42"/>
      <c r="Y134" s="46"/>
      <c r="Z134" s="46"/>
      <c r="AA134" s="43"/>
      <c r="AB134" s="43"/>
      <c r="AC134" s="43"/>
    </row>
    <row r="135" spans="1:29" s="43" customFormat="1" ht="18" customHeight="1" x14ac:dyDescent="0.2">
      <c r="A135" s="125" t="s">
        <v>29</v>
      </c>
      <c r="B135" s="129" t="s">
        <v>155</v>
      </c>
      <c r="C135" s="29" t="s">
        <v>202</v>
      </c>
      <c r="D135" s="24"/>
      <c r="E135" s="24"/>
      <c r="F135" s="24"/>
      <c r="G135" s="9">
        <f t="shared" si="92"/>
        <v>790</v>
      </c>
      <c r="H135" s="78">
        <f>SUM(H136:H139)</f>
        <v>0</v>
      </c>
      <c r="I135" s="39">
        <f t="shared" ref="I135:J135" si="98">SUM(I136:I139)</f>
        <v>790</v>
      </c>
      <c r="J135" s="78">
        <f t="shared" si="98"/>
        <v>0</v>
      </c>
      <c r="K135" s="9">
        <f t="shared" si="93"/>
        <v>790</v>
      </c>
      <c r="L135" s="78">
        <f t="shared" ref="L135:N135" si="99">SUM(L136:L139)</f>
        <v>0</v>
      </c>
      <c r="M135" s="39">
        <f t="shared" si="99"/>
        <v>790</v>
      </c>
      <c r="N135" s="78">
        <f t="shared" si="99"/>
        <v>0</v>
      </c>
      <c r="O135" s="9">
        <f t="shared" ref="O135" si="100">P135+Q135+R135</f>
        <v>789.9</v>
      </c>
      <c r="P135" s="78">
        <f t="shared" ref="P135:R135" si="101">SUM(P136:P139)</f>
        <v>0</v>
      </c>
      <c r="Q135" s="39">
        <f t="shared" si="101"/>
        <v>789.9</v>
      </c>
      <c r="R135" s="78">
        <f t="shared" si="101"/>
        <v>0</v>
      </c>
      <c r="S135" s="39">
        <f t="shared" ref="S135" si="102">T135+U135+V135</f>
        <v>789.9</v>
      </c>
      <c r="T135" s="78">
        <f t="shared" ref="T135:V135" si="103">SUM(T136:T139)</f>
        <v>0</v>
      </c>
      <c r="U135" s="39">
        <f t="shared" si="103"/>
        <v>789.9</v>
      </c>
      <c r="V135" s="78">
        <f t="shared" si="103"/>
        <v>0</v>
      </c>
      <c r="W135" s="75"/>
      <c r="X135" s="44"/>
      <c r="Y135" s="76"/>
      <c r="Z135" s="76"/>
    </row>
    <row r="136" spans="1:29" s="43" customFormat="1" ht="18" customHeight="1" x14ac:dyDescent="0.2">
      <c r="A136" s="126"/>
      <c r="B136" s="130"/>
      <c r="C136" s="29" t="s">
        <v>202</v>
      </c>
      <c r="D136" s="24"/>
      <c r="E136" s="24"/>
      <c r="F136" s="24" t="s">
        <v>56</v>
      </c>
      <c r="G136" s="9">
        <f t="shared" si="92"/>
        <v>0</v>
      </c>
      <c r="H136" s="78"/>
      <c r="I136" s="78"/>
      <c r="J136" s="78"/>
      <c r="K136" s="9">
        <f t="shared" ref="K136" si="104">L136+M136+N136</f>
        <v>1.7</v>
      </c>
      <c r="L136" s="78"/>
      <c r="M136" s="39">
        <f>1700/1000</f>
        <v>1.7</v>
      </c>
      <c r="N136" s="78"/>
      <c r="O136" s="9">
        <f t="shared" ref="O136" si="105">P136+Q136+R136</f>
        <v>1.7</v>
      </c>
      <c r="P136" s="78"/>
      <c r="Q136" s="39">
        <v>1.7</v>
      </c>
      <c r="R136" s="78"/>
      <c r="S136" s="39">
        <f t="shared" ref="S136" si="106">T136+U136+V136</f>
        <v>1.7</v>
      </c>
      <c r="T136" s="78"/>
      <c r="U136" s="39">
        <f>Q136</f>
        <v>1.7</v>
      </c>
      <c r="V136" s="78"/>
      <c r="W136" s="75"/>
      <c r="X136" s="44"/>
      <c r="Y136" s="76"/>
      <c r="Z136" s="76"/>
    </row>
    <row r="137" spans="1:29" ht="15.75" customHeight="1" x14ac:dyDescent="0.2">
      <c r="A137" s="126"/>
      <c r="B137" s="130"/>
      <c r="C137" s="29" t="s">
        <v>202</v>
      </c>
      <c r="D137" s="29"/>
      <c r="E137" s="29"/>
      <c r="F137" s="29" t="s">
        <v>67</v>
      </c>
      <c r="G137" s="9">
        <f t="shared" si="92"/>
        <v>380</v>
      </c>
      <c r="H137" s="6"/>
      <c r="I137" s="9">
        <v>380</v>
      </c>
      <c r="J137" s="6"/>
      <c r="K137" s="9">
        <f t="shared" si="93"/>
        <v>100</v>
      </c>
      <c r="L137" s="33"/>
      <c r="M137" s="39">
        <v>100</v>
      </c>
      <c r="N137" s="6"/>
      <c r="O137" s="6">
        <f>SUM(P137:R137)</f>
        <v>100</v>
      </c>
      <c r="P137" s="33">
        <f>T137</f>
        <v>0</v>
      </c>
      <c r="Q137" s="33">
        <v>100</v>
      </c>
      <c r="R137" s="33"/>
      <c r="S137" s="33">
        <f>SUM(T137:V137)</f>
        <v>100</v>
      </c>
      <c r="T137" s="33"/>
      <c r="U137" s="39">
        <f t="shared" ref="U137:U139" si="107">Q137</f>
        <v>100</v>
      </c>
      <c r="V137" s="33"/>
      <c r="W137" s="20">
        <f t="shared" si="53"/>
        <v>100</v>
      </c>
      <c r="X137" s="42"/>
      <c r="Y137" s="46"/>
      <c r="Z137" s="46"/>
      <c r="AA137" s="43"/>
      <c r="AB137" s="43"/>
      <c r="AC137" s="43"/>
    </row>
    <row r="138" spans="1:29" x14ac:dyDescent="0.2">
      <c r="A138" s="126"/>
      <c r="B138" s="130"/>
      <c r="C138" s="29" t="s">
        <v>202</v>
      </c>
      <c r="D138" s="29"/>
      <c r="E138" s="29"/>
      <c r="F138" s="29" t="s">
        <v>66</v>
      </c>
      <c r="G138" s="9">
        <f t="shared" si="92"/>
        <v>210</v>
      </c>
      <c r="H138" s="6"/>
      <c r="I138" s="9">
        <v>210</v>
      </c>
      <c r="J138" s="6"/>
      <c r="K138" s="9">
        <f t="shared" si="93"/>
        <v>333.8</v>
      </c>
      <c r="L138" s="33"/>
      <c r="M138" s="39">
        <v>333.8</v>
      </c>
      <c r="N138" s="6"/>
      <c r="O138" s="6">
        <f>SUM(P138:R138)</f>
        <v>333.7</v>
      </c>
      <c r="P138" s="33"/>
      <c r="Q138" s="33">
        <v>333.7</v>
      </c>
      <c r="R138" s="33"/>
      <c r="S138" s="33">
        <f>SUM(T138:V138)</f>
        <v>333.7</v>
      </c>
      <c r="T138" s="33"/>
      <c r="U138" s="39">
        <f t="shared" si="107"/>
        <v>333.7</v>
      </c>
      <c r="V138" s="33"/>
      <c r="W138" s="20">
        <f t="shared" si="53"/>
        <v>99.970041941282204</v>
      </c>
      <c r="X138" s="42"/>
      <c r="Y138" s="46"/>
      <c r="Z138" s="46"/>
      <c r="AA138" s="43"/>
      <c r="AB138" s="43"/>
      <c r="AC138" s="43"/>
    </row>
    <row r="139" spans="1:29" x14ac:dyDescent="0.2">
      <c r="A139" s="127"/>
      <c r="B139" s="131"/>
      <c r="C139" s="29" t="s">
        <v>202</v>
      </c>
      <c r="D139" s="29"/>
      <c r="E139" s="29"/>
      <c r="F139" s="29" t="s">
        <v>63</v>
      </c>
      <c r="G139" s="9">
        <f t="shared" si="92"/>
        <v>200</v>
      </c>
      <c r="H139" s="6"/>
      <c r="I139" s="9">
        <v>200</v>
      </c>
      <c r="J139" s="6">
        <v>0</v>
      </c>
      <c r="K139" s="9">
        <f t="shared" si="93"/>
        <v>354.5</v>
      </c>
      <c r="L139" s="33"/>
      <c r="M139" s="39">
        <v>354.5</v>
      </c>
      <c r="N139" s="6"/>
      <c r="O139" s="6">
        <f>SUM(P139:R139)</f>
        <v>354.5</v>
      </c>
      <c r="P139" s="33"/>
      <c r="Q139" s="33">
        <v>354.5</v>
      </c>
      <c r="R139" s="33"/>
      <c r="S139" s="33">
        <f>SUM(T139:V139)</f>
        <v>354.5</v>
      </c>
      <c r="T139" s="33"/>
      <c r="U139" s="39">
        <f t="shared" si="107"/>
        <v>354.5</v>
      </c>
      <c r="V139" s="33"/>
      <c r="W139" s="20">
        <f t="shared" si="53"/>
        <v>100</v>
      </c>
      <c r="X139" s="42"/>
      <c r="Y139" s="46"/>
      <c r="Z139" s="46"/>
      <c r="AA139" s="43"/>
      <c r="AB139" s="43"/>
      <c r="AC139" s="43"/>
    </row>
    <row r="140" spans="1:29" ht="54" customHeight="1" x14ac:dyDescent="0.2">
      <c r="A140" s="23">
        <v>3</v>
      </c>
      <c r="B140" s="97" t="s">
        <v>156</v>
      </c>
      <c r="C140" s="98"/>
      <c r="D140" s="98"/>
      <c r="E140" s="98"/>
      <c r="F140" s="98"/>
      <c r="G140" s="99">
        <f t="shared" si="92"/>
        <v>400</v>
      </c>
      <c r="H140" s="99">
        <f>SUM(H141:H141)</f>
        <v>0</v>
      </c>
      <c r="I140" s="99">
        <f>SUM(I141:I141)</f>
        <v>400</v>
      </c>
      <c r="J140" s="99">
        <f>SUM(J141:J141)</f>
        <v>0</v>
      </c>
      <c r="K140" s="99">
        <f t="shared" si="93"/>
        <v>400</v>
      </c>
      <c r="L140" s="99">
        <f>SUM(L141:L141)</f>
        <v>0</v>
      </c>
      <c r="M140" s="99">
        <f>SUM(M141:M141)</f>
        <v>400</v>
      </c>
      <c r="N140" s="99">
        <f>SUM(N141:N141)</f>
        <v>0</v>
      </c>
      <c r="O140" s="99">
        <f>P140+Q140+R140</f>
        <v>62.2</v>
      </c>
      <c r="P140" s="99">
        <f>SUM(P141:P141)</f>
        <v>0</v>
      </c>
      <c r="Q140" s="99">
        <f>SUM(Q141:Q141)</f>
        <v>62.2</v>
      </c>
      <c r="R140" s="99">
        <f>SUM(R141:R141)</f>
        <v>0</v>
      </c>
      <c r="S140" s="99">
        <f>T140+U140+V140</f>
        <v>62.2</v>
      </c>
      <c r="T140" s="99">
        <f>SUM(T141:T141)</f>
        <v>0</v>
      </c>
      <c r="U140" s="99">
        <f>SUM(U141:U141)</f>
        <v>62.2</v>
      </c>
      <c r="V140" s="13">
        <f>SUM(V141:V141)</f>
        <v>0</v>
      </c>
      <c r="W140" s="20">
        <f t="shared" si="53"/>
        <v>15.55</v>
      </c>
      <c r="X140" s="42"/>
      <c r="Y140" s="46"/>
      <c r="Z140" s="46"/>
      <c r="AA140" s="43"/>
      <c r="AB140" s="43"/>
      <c r="AC140" s="43"/>
    </row>
    <row r="141" spans="1:29" ht="52.5" customHeight="1" x14ac:dyDescent="0.2">
      <c r="A141" s="24" t="s">
        <v>30</v>
      </c>
      <c r="B141" s="26" t="s">
        <v>157</v>
      </c>
      <c r="C141" s="29" t="s">
        <v>203</v>
      </c>
      <c r="D141" s="29"/>
      <c r="E141" s="29"/>
      <c r="F141" s="29" t="s">
        <v>169</v>
      </c>
      <c r="G141" s="9">
        <f t="shared" si="92"/>
        <v>400</v>
      </c>
      <c r="H141" s="6"/>
      <c r="I141" s="9">
        <f>M141</f>
        <v>400</v>
      </c>
      <c r="J141" s="6"/>
      <c r="K141" s="6">
        <f>SUM(L141:N141)</f>
        <v>400</v>
      </c>
      <c r="L141" s="6"/>
      <c r="M141" s="33">
        <v>400</v>
      </c>
      <c r="N141" s="33"/>
      <c r="O141" s="33">
        <f>SUM(P141:R141)</f>
        <v>62.2</v>
      </c>
      <c r="P141" s="33"/>
      <c r="Q141" s="33">
        <v>62.2</v>
      </c>
      <c r="R141" s="33"/>
      <c r="S141" s="33">
        <f>SUM(T141:V141)</f>
        <v>62.2</v>
      </c>
      <c r="T141" s="33"/>
      <c r="U141" s="33">
        <f>Q141</f>
        <v>62.2</v>
      </c>
      <c r="V141" s="33"/>
      <c r="W141" s="20">
        <f t="shared" si="53"/>
        <v>15.55</v>
      </c>
      <c r="X141" s="42"/>
      <c r="Y141" s="46"/>
      <c r="Z141" s="46"/>
      <c r="AA141" s="43"/>
      <c r="AB141" s="43"/>
      <c r="AC141" s="43"/>
    </row>
    <row r="142" spans="1:29" ht="36" hidden="1" customHeight="1" x14ac:dyDescent="0.2">
      <c r="A142" s="23">
        <v>4</v>
      </c>
      <c r="B142" s="23" t="s">
        <v>251</v>
      </c>
      <c r="C142" s="30"/>
      <c r="D142" s="30"/>
      <c r="E142" s="30"/>
      <c r="F142" s="30"/>
      <c r="G142" s="13">
        <f>H142+I142+J142</f>
        <v>0</v>
      </c>
      <c r="H142" s="13">
        <f>SUM(H143:H143)</f>
        <v>0</v>
      </c>
      <c r="I142" s="13">
        <f>SUM(I143:I143)</f>
        <v>0</v>
      </c>
      <c r="J142" s="13">
        <f>SUM(J143:J143)</f>
        <v>0</v>
      </c>
      <c r="K142" s="13">
        <f>L142+M142+N142</f>
        <v>0</v>
      </c>
      <c r="L142" s="13">
        <f>SUM(L143:L143)</f>
        <v>0</v>
      </c>
      <c r="M142" s="89">
        <f>SUM(M143:M143)</f>
        <v>0</v>
      </c>
      <c r="N142" s="13">
        <f>SUM(N143:N143)</f>
        <v>0</v>
      </c>
      <c r="O142" s="13">
        <f>P142+Q142+R142</f>
        <v>0</v>
      </c>
      <c r="P142" s="89">
        <f>SUM(P143:P143)</f>
        <v>0</v>
      </c>
      <c r="Q142" s="89">
        <f>SUM(Q143:Q143)</f>
        <v>0</v>
      </c>
      <c r="R142" s="13">
        <f>SUM(R143:R143)</f>
        <v>0</v>
      </c>
      <c r="S142" s="13">
        <f>T142+U142+V142</f>
        <v>0</v>
      </c>
      <c r="T142" s="89">
        <f>SUM(T143:T143)</f>
        <v>0</v>
      </c>
      <c r="U142" s="89">
        <f>SUM(U143:U143)</f>
        <v>0</v>
      </c>
      <c r="V142" s="13">
        <f>SUM(V143:V143)</f>
        <v>0</v>
      </c>
      <c r="W142" s="20" t="e">
        <f t="shared" si="53"/>
        <v>#DIV/0!</v>
      </c>
      <c r="X142" s="42"/>
      <c r="Y142" s="46"/>
      <c r="Z142" s="46"/>
      <c r="AA142" s="43"/>
      <c r="AB142" s="43"/>
      <c r="AC142" s="43"/>
    </row>
    <row r="143" spans="1:29" ht="49.5" hidden="1" customHeight="1" x14ac:dyDescent="0.2">
      <c r="A143" s="32" t="s">
        <v>31</v>
      </c>
      <c r="B143" s="73" t="s">
        <v>252</v>
      </c>
      <c r="C143" s="29"/>
      <c r="D143" s="29"/>
      <c r="E143" s="29"/>
      <c r="F143" s="29"/>
      <c r="G143" s="9">
        <f>H143+I143+J143</f>
        <v>0</v>
      </c>
      <c r="H143" s="6">
        <v>0</v>
      </c>
      <c r="I143" s="9"/>
      <c r="J143" s="6">
        <v>0</v>
      </c>
      <c r="K143" s="6">
        <f>SUM(L143:N143)</f>
        <v>0</v>
      </c>
      <c r="L143" s="6"/>
      <c r="M143" s="92"/>
      <c r="N143" s="6"/>
      <c r="O143" s="6">
        <f>SUM(P143:R143)</f>
        <v>0</v>
      </c>
      <c r="P143" s="92"/>
      <c r="Q143" s="92"/>
      <c r="R143" s="6"/>
      <c r="S143" s="6">
        <f>SUM(T143:V143)</f>
        <v>0</v>
      </c>
      <c r="T143" s="92"/>
      <c r="U143" s="92"/>
      <c r="V143" s="6"/>
      <c r="W143" s="20" t="e">
        <f t="shared" si="53"/>
        <v>#DIV/0!</v>
      </c>
      <c r="X143" s="42"/>
      <c r="Y143" s="46"/>
      <c r="Z143" s="46"/>
      <c r="AA143" s="43"/>
      <c r="AB143" s="43"/>
      <c r="AC143" s="43"/>
    </row>
    <row r="144" spans="1:29" ht="36" hidden="1" customHeight="1" x14ac:dyDescent="0.2">
      <c r="A144" s="23">
        <v>5</v>
      </c>
      <c r="B144" s="23" t="s">
        <v>253</v>
      </c>
      <c r="C144" s="30"/>
      <c r="D144" s="30"/>
      <c r="E144" s="30"/>
      <c r="F144" s="30"/>
      <c r="G144" s="13">
        <f>H144+I144+J144</f>
        <v>0</v>
      </c>
      <c r="H144" s="13">
        <f>SUM(H145:H145)</f>
        <v>0</v>
      </c>
      <c r="I144" s="13">
        <f>SUM(I145:I145)</f>
        <v>0</v>
      </c>
      <c r="J144" s="13">
        <f>SUM(J145:J145)</f>
        <v>0</v>
      </c>
      <c r="K144" s="13">
        <f>L144+M144+N144</f>
        <v>0</v>
      </c>
      <c r="L144" s="13">
        <f>SUM(L145:L145)</f>
        <v>0</v>
      </c>
      <c r="M144" s="89">
        <f>SUM(M145:M145)</f>
        <v>0</v>
      </c>
      <c r="N144" s="13">
        <f>SUM(N145:N145)</f>
        <v>0</v>
      </c>
      <c r="O144" s="13">
        <f>P144+Q144+R144</f>
        <v>0</v>
      </c>
      <c r="P144" s="89">
        <f>SUM(P145:P145)</f>
        <v>0</v>
      </c>
      <c r="Q144" s="89">
        <f>SUM(Q145:Q145)</f>
        <v>0</v>
      </c>
      <c r="R144" s="13">
        <f>SUM(R145:R145)</f>
        <v>0</v>
      </c>
      <c r="S144" s="13">
        <f>T144+U144+V144</f>
        <v>0</v>
      </c>
      <c r="T144" s="89">
        <f>SUM(T145:T145)</f>
        <v>0</v>
      </c>
      <c r="U144" s="89">
        <f>SUM(U145:U145)</f>
        <v>0</v>
      </c>
      <c r="V144" s="13">
        <f>SUM(V145:V145)</f>
        <v>0</v>
      </c>
      <c r="W144" s="20" t="e">
        <f>S144*100/K144</f>
        <v>#DIV/0!</v>
      </c>
      <c r="X144" s="42"/>
      <c r="Y144" s="46"/>
      <c r="Z144" s="46"/>
      <c r="AA144" s="43"/>
      <c r="AB144" s="43"/>
      <c r="AC144" s="43"/>
    </row>
    <row r="145" spans="1:29" ht="49.5" hidden="1" customHeight="1" x14ac:dyDescent="0.2">
      <c r="A145" s="32" t="s">
        <v>41</v>
      </c>
      <c r="B145" s="73" t="s">
        <v>254</v>
      </c>
      <c r="C145" s="29"/>
      <c r="D145" s="29"/>
      <c r="E145" s="29"/>
      <c r="F145" s="29"/>
      <c r="G145" s="9"/>
      <c r="H145" s="6"/>
      <c r="I145" s="9"/>
      <c r="J145" s="6"/>
      <c r="K145" s="6"/>
      <c r="L145" s="6"/>
      <c r="M145" s="92"/>
      <c r="N145" s="6"/>
      <c r="O145" s="6"/>
      <c r="P145" s="92"/>
      <c r="Q145" s="92"/>
      <c r="R145" s="6"/>
      <c r="S145" s="6"/>
      <c r="T145" s="92"/>
      <c r="U145" s="92"/>
      <c r="V145" s="6"/>
      <c r="W145" s="20"/>
      <c r="X145" s="42"/>
      <c r="Y145" s="46"/>
      <c r="Z145" s="46"/>
      <c r="AA145" s="43"/>
      <c r="AB145" s="43"/>
      <c r="AC145" s="43"/>
    </row>
    <row r="146" spans="1:29" s="50" customFormat="1" ht="35.25" customHeight="1" x14ac:dyDescent="0.2">
      <c r="A146" s="132" t="s">
        <v>158</v>
      </c>
      <c r="B146" s="132"/>
      <c r="C146" s="47"/>
      <c r="D146" s="47"/>
      <c r="E146" s="47"/>
      <c r="F146" s="47"/>
      <c r="G146" s="48">
        <f>SUM(H146:J146)</f>
        <v>11188.2</v>
      </c>
      <c r="H146" s="48">
        <f>H147+H149</f>
        <v>6750</v>
      </c>
      <c r="I146" s="48">
        <f>I147+I149</f>
        <v>4438.2</v>
      </c>
      <c r="J146" s="48">
        <f>J147+J149</f>
        <v>0</v>
      </c>
      <c r="K146" s="48">
        <f>SUM(L146:N146)</f>
        <v>11188.2</v>
      </c>
      <c r="L146" s="48">
        <f>L147+L149</f>
        <v>6750</v>
      </c>
      <c r="M146" s="48">
        <f>M147+M149</f>
        <v>4438.2</v>
      </c>
      <c r="N146" s="48">
        <f>N147+N149</f>
        <v>0</v>
      </c>
      <c r="O146" s="48">
        <f>SUM(P146:R146)</f>
        <v>11034.9</v>
      </c>
      <c r="P146" s="48">
        <f>P147+P149</f>
        <v>6716</v>
      </c>
      <c r="Q146" s="48">
        <f>Q147+Q149</f>
        <v>4318.8999999999996</v>
      </c>
      <c r="R146" s="48">
        <f>R147+R149</f>
        <v>0</v>
      </c>
      <c r="S146" s="48">
        <f>SUM(T146:V146)</f>
        <v>11473.8</v>
      </c>
      <c r="T146" s="48">
        <f>T147+T149</f>
        <v>6938.5</v>
      </c>
      <c r="U146" s="48">
        <f>U147+U149</f>
        <v>4535.3</v>
      </c>
      <c r="V146" s="48">
        <f>V147+V149</f>
        <v>0</v>
      </c>
      <c r="W146" s="20">
        <f t="shared" si="53"/>
        <v>102.55268944066069</v>
      </c>
      <c r="X146" s="49"/>
      <c r="Y146" s="68"/>
      <c r="Z146" s="68"/>
      <c r="AA146" s="55"/>
      <c r="AB146" s="55"/>
      <c r="AC146" s="55"/>
    </row>
    <row r="147" spans="1:29" s="50" customFormat="1" ht="40.5" customHeight="1" x14ac:dyDescent="0.2">
      <c r="A147" s="51">
        <v>1</v>
      </c>
      <c r="B147" s="51" t="s">
        <v>24</v>
      </c>
      <c r="C147" s="52"/>
      <c r="D147" s="52"/>
      <c r="E147" s="52"/>
      <c r="F147" s="102"/>
      <c r="G147" s="103">
        <f>H147+I147+J147</f>
        <v>10888.2</v>
      </c>
      <c r="H147" s="103">
        <f>H148</f>
        <v>6750</v>
      </c>
      <c r="I147" s="103">
        <f>I148</f>
        <v>4138.2</v>
      </c>
      <c r="J147" s="103">
        <f>J148</f>
        <v>0</v>
      </c>
      <c r="K147" s="103">
        <f>L147+M147+N147</f>
        <v>10888.2</v>
      </c>
      <c r="L147" s="103">
        <f>L148</f>
        <v>6750</v>
      </c>
      <c r="M147" s="103">
        <f>M148</f>
        <v>4138.2</v>
      </c>
      <c r="N147" s="103">
        <f>N148</f>
        <v>0</v>
      </c>
      <c r="O147" s="103">
        <f>P147+Q147+R147</f>
        <v>10833.4</v>
      </c>
      <c r="P147" s="103">
        <f>P148</f>
        <v>6716</v>
      </c>
      <c r="Q147" s="103">
        <f>Q148</f>
        <v>4117.3999999999996</v>
      </c>
      <c r="R147" s="103">
        <f>R148</f>
        <v>0</v>
      </c>
      <c r="S147" s="103">
        <f>T147+U147+V147</f>
        <v>11272.3</v>
      </c>
      <c r="T147" s="99">
        <f>T148</f>
        <v>6938.5</v>
      </c>
      <c r="U147" s="99">
        <f>U148</f>
        <v>4333.8</v>
      </c>
      <c r="V147" s="53">
        <f>V148</f>
        <v>0</v>
      </c>
      <c r="W147" s="20">
        <f t="shared" si="53"/>
        <v>103.52767215885086</v>
      </c>
      <c r="X147" s="49"/>
      <c r="Y147" s="68"/>
      <c r="Z147" s="68"/>
      <c r="AA147" s="55"/>
      <c r="AB147" s="55"/>
      <c r="AC147" s="55"/>
    </row>
    <row r="148" spans="1:29" s="55" customFormat="1" ht="43.5" customHeight="1" x14ac:dyDescent="0.2">
      <c r="A148" s="57" t="s">
        <v>27</v>
      </c>
      <c r="B148" s="58" t="s">
        <v>100</v>
      </c>
      <c r="C148" s="57" t="s">
        <v>259</v>
      </c>
      <c r="D148" s="57" t="s">
        <v>204</v>
      </c>
      <c r="E148" s="57"/>
      <c r="F148" s="57" t="s">
        <v>55</v>
      </c>
      <c r="G148" s="59">
        <f>H148+I148+J148</f>
        <v>10888.2</v>
      </c>
      <c r="H148" s="60">
        <f>L148</f>
        <v>6750</v>
      </c>
      <c r="I148" s="60">
        <f>M148</f>
        <v>4138.2</v>
      </c>
      <c r="J148" s="60">
        <v>0</v>
      </c>
      <c r="K148" s="60">
        <f>SUM(L148:N148)</f>
        <v>10888.2</v>
      </c>
      <c r="L148" s="60">
        <v>6750</v>
      </c>
      <c r="M148" s="60">
        <v>4138.2</v>
      </c>
      <c r="N148" s="60"/>
      <c r="O148" s="60">
        <f>SUM(P148:R148)</f>
        <v>10833.4</v>
      </c>
      <c r="P148" s="60">
        <f>6716</f>
        <v>6716</v>
      </c>
      <c r="Q148" s="60">
        <f>4117.4</f>
        <v>4117.3999999999996</v>
      </c>
      <c r="R148" s="60"/>
      <c r="S148" s="60">
        <f>SUM(T148:V148)</f>
        <v>11272.3</v>
      </c>
      <c r="T148" s="60">
        <f>6054.8+883.7</f>
        <v>6938.5</v>
      </c>
      <c r="U148" s="60">
        <f>3712+621.8</f>
        <v>4333.8</v>
      </c>
      <c r="V148" s="60"/>
      <c r="W148" s="20">
        <f t="shared" si="53"/>
        <v>103.52767215885086</v>
      </c>
      <c r="X148" s="61"/>
      <c r="Y148" s="68"/>
      <c r="Z148" s="68"/>
    </row>
    <row r="149" spans="1:29" s="50" customFormat="1" ht="37.5" customHeight="1" x14ac:dyDescent="0.2">
      <c r="A149" s="51">
        <v>2</v>
      </c>
      <c r="B149" s="101" t="s">
        <v>25</v>
      </c>
      <c r="C149" s="102"/>
      <c r="D149" s="102"/>
      <c r="E149" s="102"/>
      <c r="F149" s="102"/>
      <c r="G149" s="103">
        <f>H149+I149+J149</f>
        <v>300</v>
      </c>
      <c r="H149" s="103">
        <f>H150</f>
        <v>0</v>
      </c>
      <c r="I149" s="103">
        <f>I150</f>
        <v>300</v>
      </c>
      <c r="J149" s="103">
        <f>J150</f>
        <v>0</v>
      </c>
      <c r="K149" s="103">
        <f>L149+M149+N149</f>
        <v>300</v>
      </c>
      <c r="L149" s="103">
        <f>L150</f>
        <v>0</v>
      </c>
      <c r="M149" s="103">
        <f>M150</f>
        <v>300</v>
      </c>
      <c r="N149" s="103">
        <f>N150</f>
        <v>0</v>
      </c>
      <c r="O149" s="103">
        <f>P149+Q149+R149</f>
        <v>201.5</v>
      </c>
      <c r="P149" s="103">
        <f>P150</f>
        <v>0</v>
      </c>
      <c r="Q149" s="103">
        <f>Q150</f>
        <v>201.5</v>
      </c>
      <c r="R149" s="103">
        <f>R150</f>
        <v>0</v>
      </c>
      <c r="S149" s="103">
        <f>T149+U149+V149</f>
        <v>201.5</v>
      </c>
      <c r="T149" s="99">
        <f>T150</f>
        <v>0</v>
      </c>
      <c r="U149" s="99">
        <f>U150</f>
        <v>201.5</v>
      </c>
      <c r="V149" s="53">
        <f>V150</f>
        <v>0</v>
      </c>
      <c r="W149" s="20">
        <f t="shared" si="53"/>
        <v>67.166666666666671</v>
      </c>
      <c r="X149" s="49"/>
      <c r="Y149" s="46"/>
      <c r="Z149" s="46"/>
      <c r="AA149" s="55"/>
      <c r="AB149" s="55"/>
      <c r="AC149" s="55"/>
    </row>
    <row r="150" spans="1:29" s="55" customFormat="1" ht="57.75" customHeight="1" x14ac:dyDescent="0.2">
      <c r="A150" s="57" t="s">
        <v>29</v>
      </c>
      <c r="B150" s="58" t="s">
        <v>269</v>
      </c>
      <c r="C150" s="57" t="s">
        <v>205</v>
      </c>
      <c r="D150" s="57"/>
      <c r="E150" s="57"/>
      <c r="F150" s="57" t="s">
        <v>65</v>
      </c>
      <c r="G150" s="60">
        <f>H150+I150+J150</f>
        <v>300</v>
      </c>
      <c r="H150" s="60">
        <v>0</v>
      </c>
      <c r="I150" s="60">
        <f>M150</f>
        <v>300</v>
      </c>
      <c r="J150" s="60">
        <v>0</v>
      </c>
      <c r="K150" s="60">
        <f t="shared" ref="K150:K160" si="108">SUM(L150:N150)</f>
        <v>300</v>
      </c>
      <c r="L150" s="60"/>
      <c r="M150" s="60">
        <v>300</v>
      </c>
      <c r="N150" s="60"/>
      <c r="O150" s="60">
        <f>SUM(P150:R150)</f>
        <v>201.5</v>
      </c>
      <c r="P150" s="60"/>
      <c r="Q150" s="60">
        <f>201.5</f>
        <v>201.5</v>
      </c>
      <c r="R150" s="60"/>
      <c r="S150" s="60">
        <f>SUM(T150:V150)</f>
        <v>201.5</v>
      </c>
      <c r="T150" s="60"/>
      <c r="U150" s="60">
        <f>Q150</f>
        <v>201.5</v>
      </c>
      <c r="V150" s="60"/>
      <c r="W150" s="20">
        <f t="shared" si="53"/>
        <v>67.166666666666671</v>
      </c>
      <c r="X150" s="61"/>
      <c r="Y150" s="46"/>
      <c r="Z150" s="46"/>
    </row>
    <row r="151" spans="1:29" ht="27.75" customHeight="1" x14ac:dyDescent="0.2">
      <c r="A151" s="128" t="s">
        <v>159</v>
      </c>
      <c r="B151" s="128"/>
      <c r="C151" s="28"/>
      <c r="D151" s="28"/>
      <c r="E151" s="28"/>
      <c r="F151" s="28"/>
      <c r="G151" s="10">
        <f>SUM(H151:J151)</f>
        <v>243267.9</v>
      </c>
      <c r="H151" s="10">
        <f>H152+H155+H158</f>
        <v>207153</v>
      </c>
      <c r="I151" s="10">
        <f>I152+I155+I158</f>
        <v>36114.899999999994</v>
      </c>
      <c r="J151" s="10">
        <f>J152+J155+J158</f>
        <v>0</v>
      </c>
      <c r="K151" s="10">
        <f t="shared" si="108"/>
        <v>243267.9</v>
      </c>
      <c r="L151" s="10">
        <f>L152+L155+L158</f>
        <v>207153</v>
      </c>
      <c r="M151" s="10">
        <f>M152+M155+M158</f>
        <v>36114.899999999994</v>
      </c>
      <c r="N151" s="10">
        <f>N152+N155+N158</f>
        <v>0</v>
      </c>
      <c r="O151" s="10">
        <f>SUM(P151:R151)</f>
        <v>226522.7</v>
      </c>
      <c r="P151" s="10">
        <f>P152+P155+P158</f>
        <v>207117.90000000002</v>
      </c>
      <c r="Q151" s="10">
        <f>Q152+Q155+Q158</f>
        <v>19404.800000000003</v>
      </c>
      <c r="R151" s="10">
        <f>R152+R155+R158</f>
        <v>0</v>
      </c>
      <c r="S151" s="10">
        <f>SUM(T151:V151)</f>
        <v>12795</v>
      </c>
      <c r="T151" s="10">
        <f>T152+T155+T158</f>
        <v>0</v>
      </c>
      <c r="U151" s="10">
        <f>U152+U155+U158</f>
        <v>12795</v>
      </c>
      <c r="V151" s="10">
        <f>V152+V155+V158</f>
        <v>0</v>
      </c>
      <c r="W151" s="20">
        <f t="shared" ref="W151:W157" si="109">S151*100/K151</f>
        <v>5.2596335151493481</v>
      </c>
      <c r="X151" s="44"/>
      <c r="Y151" s="46"/>
      <c r="Z151" s="46"/>
      <c r="AA151" s="43"/>
      <c r="AB151" s="43"/>
      <c r="AC151" s="43"/>
    </row>
    <row r="152" spans="1:29" s="87" customFormat="1" ht="50.25" hidden="1" customHeight="1" x14ac:dyDescent="0.2">
      <c r="A152" s="23">
        <v>1</v>
      </c>
      <c r="B152" s="97" t="s">
        <v>255</v>
      </c>
      <c r="C152" s="98"/>
      <c r="D152" s="98"/>
      <c r="E152" s="98"/>
      <c r="F152" s="98"/>
      <c r="G152" s="99">
        <f>H152+I152+J152</f>
        <v>0</v>
      </c>
      <c r="H152" s="99">
        <f>SUM(H153:H154)</f>
        <v>0</v>
      </c>
      <c r="I152" s="99">
        <f>SUM(I153:I154)</f>
        <v>0</v>
      </c>
      <c r="J152" s="99">
        <f>SUM(J153:J154)</f>
        <v>0</v>
      </c>
      <c r="K152" s="99">
        <f t="shared" si="108"/>
        <v>0</v>
      </c>
      <c r="L152" s="99">
        <f>SUM(L153:L154)</f>
        <v>0</v>
      </c>
      <c r="M152" s="99">
        <f>SUM(M153:M154)</f>
        <v>0</v>
      </c>
      <c r="N152" s="99">
        <f>SUM(N153:N154)</f>
        <v>0</v>
      </c>
      <c r="O152" s="99">
        <f t="shared" ref="O152:O159" si="110">SUM(P152:R152)</f>
        <v>0</v>
      </c>
      <c r="P152" s="99">
        <f>SUM(P153:P154)</f>
        <v>0</v>
      </c>
      <c r="Q152" s="99">
        <f>SUM(Q153:Q154)</f>
        <v>0</v>
      </c>
      <c r="R152" s="99">
        <f>SUM(R153:R154)</f>
        <v>0</v>
      </c>
      <c r="S152" s="99">
        <f t="shared" ref="S152:S159" si="111">SUM(T152:V152)</f>
        <v>0</v>
      </c>
      <c r="T152" s="99">
        <f>SUM(T153:T154)</f>
        <v>0</v>
      </c>
      <c r="U152" s="99">
        <f>SUM(U153:U154)</f>
        <v>0</v>
      </c>
      <c r="V152" s="13">
        <f>SUM(V153:V154)</f>
        <v>0</v>
      </c>
      <c r="W152" s="20" t="e">
        <f t="shared" si="109"/>
        <v>#DIV/0!</v>
      </c>
      <c r="X152" s="85"/>
      <c r="Y152" s="46"/>
      <c r="Z152" s="86"/>
    </row>
    <row r="153" spans="1:29" s="81" customFormat="1" ht="37.5" hidden="1" customHeight="1" x14ac:dyDescent="0.2">
      <c r="A153" s="32" t="s">
        <v>26</v>
      </c>
      <c r="B153" s="72" t="s">
        <v>160</v>
      </c>
      <c r="C153" s="24" t="s">
        <v>99</v>
      </c>
      <c r="D153" s="24"/>
      <c r="E153" s="24"/>
      <c r="F153" s="24" t="s">
        <v>91</v>
      </c>
      <c r="G153" s="39">
        <f>SUM(H153:J153)</f>
        <v>0</v>
      </c>
      <c r="H153" s="33">
        <v>0</v>
      </c>
      <c r="I153" s="39"/>
      <c r="J153" s="33">
        <v>0</v>
      </c>
      <c r="K153" s="39">
        <f t="shared" si="108"/>
        <v>0</v>
      </c>
      <c r="L153" s="33"/>
      <c r="M153" s="92"/>
      <c r="N153" s="33"/>
      <c r="O153" s="39">
        <f t="shared" si="110"/>
        <v>0</v>
      </c>
      <c r="P153" s="92"/>
      <c r="Q153" s="92"/>
      <c r="R153" s="33"/>
      <c r="S153" s="39">
        <f t="shared" si="111"/>
        <v>0</v>
      </c>
      <c r="T153" s="92"/>
      <c r="U153" s="92"/>
      <c r="V153" s="33"/>
      <c r="W153" s="20" t="e">
        <f t="shared" si="109"/>
        <v>#DIV/0!</v>
      </c>
      <c r="X153" s="79"/>
      <c r="Y153" s="46"/>
      <c r="Z153" s="80"/>
    </row>
    <row r="154" spans="1:29" s="81" customFormat="1" ht="37.5" hidden="1" customHeight="1" x14ac:dyDescent="0.2">
      <c r="A154" s="32" t="s">
        <v>27</v>
      </c>
      <c r="B154" s="72" t="s">
        <v>161</v>
      </c>
      <c r="C154" s="24" t="s">
        <v>217</v>
      </c>
      <c r="D154" s="24"/>
      <c r="E154" s="24"/>
      <c r="F154" s="24" t="s">
        <v>91</v>
      </c>
      <c r="G154" s="39">
        <f>SUM(H154:J154)</f>
        <v>0</v>
      </c>
      <c r="H154" s="33"/>
      <c r="I154" s="39"/>
      <c r="J154" s="33"/>
      <c r="K154" s="39">
        <f t="shared" si="108"/>
        <v>0</v>
      </c>
      <c r="L154" s="33"/>
      <c r="M154" s="92"/>
      <c r="N154" s="33"/>
      <c r="O154" s="39">
        <f t="shared" si="110"/>
        <v>0</v>
      </c>
      <c r="P154" s="92"/>
      <c r="Q154" s="92"/>
      <c r="R154" s="33"/>
      <c r="S154" s="39">
        <f t="shared" si="111"/>
        <v>0</v>
      </c>
      <c r="T154" s="92"/>
      <c r="U154" s="92">
        <f>Q154</f>
        <v>0</v>
      </c>
      <c r="V154" s="33"/>
      <c r="W154" s="20" t="e">
        <f t="shared" si="109"/>
        <v>#DIV/0!</v>
      </c>
      <c r="X154" s="79"/>
      <c r="Y154" s="46"/>
      <c r="Z154" s="80"/>
    </row>
    <row r="155" spans="1:29" s="43" customFormat="1" ht="42.75" customHeight="1" x14ac:dyDescent="0.2">
      <c r="A155" s="51">
        <v>2</v>
      </c>
      <c r="B155" s="101" t="s">
        <v>129</v>
      </c>
      <c r="C155" s="102"/>
      <c r="D155" s="102"/>
      <c r="E155" s="102"/>
      <c r="F155" s="102"/>
      <c r="G155" s="103">
        <f>H155+I155+J155</f>
        <v>177193.5</v>
      </c>
      <c r="H155" s="103">
        <f>H156+H157</f>
        <v>157548.20000000001</v>
      </c>
      <c r="I155" s="103">
        <f>I156+I157</f>
        <v>19645.3</v>
      </c>
      <c r="J155" s="103">
        <f>J157</f>
        <v>0</v>
      </c>
      <c r="K155" s="103">
        <f t="shared" si="108"/>
        <v>177193.5</v>
      </c>
      <c r="L155" s="103">
        <f>L156+L157</f>
        <v>157548.20000000001</v>
      </c>
      <c r="M155" s="103">
        <f>M156+M157</f>
        <v>19645.3</v>
      </c>
      <c r="N155" s="103">
        <f>N156+N157</f>
        <v>0</v>
      </c>
      <c r="O155" s="103">
        <f t="shared" si="110"/>
        <v>167157.70000000001</v>
      </c>
      <c r="P155" s="103">
        <f>P156+P157</f>
        <v>157513.1</v>
      </c>
      <c r="Q155" s="103">
        <f>Q156+Q157</f>
        <v>9644.6</v>
      </c>
      <c r="R155" s="103">
        <f>R156+R157</f>
        <v>0</v>
      </c>
      <c r="S155" s="103">
        <f t="shared" si="111"/>
        <v>6430</v>
      </c>
      <c r="T155" s="99">
        <f>T156+T157</f>
        <v>0</v>
      </c>
      <c r="U155" s="99">
        <f>U156+U157</f>
        <v>6430</v>
      </c>
      <c r="V155" s="53">
        <f>V156+V157</f>
        <v>0</v>
      </c>
      <c r="W155" s="20">
        <f t="shared" si="109"/>
        <v>3.6288012822140767</v>
      </c>
      <c r="X155" s="44"/>
      <c r="Y155" s="76"/>
      <c r="Z155" s="76"/>
    </row>
    <row r="156" spans="1:29" s="43" customFormat="1" ht="65.25" customHeight="1" x14ac:dyDescent="0.2">
      <c r="A156" s="32" t="s">
        <v>29</v>
      </c>
      <c r="B156" s="72" t="s">
        <v>271</v>
      </c>
      <c r="C156" s="24" t="s">
        <v>288</v>
      </c>
      <c r="D156" s="24" t="s">
        <v>288</v>
      </c>
      <c r="E156" s="24"/>
      <c r="F156" s="24" t="s">
        <v>91</v>
      </c>
      <c r="G156" s="39">
        <f>SUM(H156:J156)</f>
        <v>167193.5</v>
      </c>
      <c r="H156" s="33">
        <f>L156</f>
        <v>157548.20000000001</v>
      </c>
      <c r="I156" s="39">
        <f>M156</f>
        <v>9645.2999999999993</v>
      </c>
      <c r="J156" s="33">
        <v>0</v>
      </c>
      <c r="K156" s="39">
        <f t="shared" si="108"/>
        <v>167193.5</v>
      </c>
      <c r="L156" s="33">
        <v>157548.20000000001</v>
      </c>
      <c r="M156" s="33">
        <v>9645.2999999999993</v>
      </c>
      <c r="N156" s="33"/>
      <c r="O156" s="39">
        <f>SUM(P156:R156)</f>
        <v>167157.70000000001</v>
      </c>
      <c r="P156" s="33">
        <v>157513.1</v>
      </c>
      <c r="Q156" s="33">
        <v>9644.6</v>
      </c>
      <c r="R156" s="33"/>
      <c r="S156" s="39">
        <f>SUM(T156:V156)</f>
        <v>6430</v>
      </c>
      <c r="T156" s="33"/>
      <c r="U156" s="33">
        <v>6430</v>
      </c>
      <c r="V156" s="33"/>
      <c r="W156" s="20">
        <f t="shared" si="109"/>
        <v>3.8458432893623256</v>
      </c>
      <c r="X156" s="44"/>
      <c r="Y156" s="46"/>
      <c r="Z156" s="76"/>
    </row>
    <row r="157" spans="1:29" s="43" customFormat="1" ht="57" customHeight="1" x14ac:dyDescent="0.2">
      <c r="A157" s="32" t="s">
        <v>33</v>
      </c>
      <c r="B157" s="72" t="s">
        <v>270</v>
      </c>
      <c r="C157" s="24" t="s">
        <v>289</v>
      </c>
      <c r="D157" s="24"/>
      <c r="E157" s="24"/>
      <c r="F157" s="24" t="s">
        <v>91</v>
      </c>
      <c r="G157" s="39">
        <f>SUM(H157:J157)</f>
        <v>10000</v>
      </c>
      <c r="H157" s="33"/>
      <c r="I157" s="39">
        <v>10000</v>
      </c>
      <c r="J157" s="33">
        <v>0</v>
      </c>
      <c r="K157" s="39">
        <f t="shared" si="108"/>
        <v>10000</v>
      </c>
      <c r="L157" s="33"/>
      <c r="M157" s="33">
        <v>10000</v>
      </c>
      <c r="N157" s="33"/>
      <c r="O157" s="39">
        <f t="shared" si="110"/>
        <v>0</v>
      </c>
      <c r="P157" s="33"/>
      <c r="Q157" s="33">
        <v>0</v>
      </c>
      <c r="R157" s="33"/>
      <c r="S157" s="39">
        <f t="shared" si="111"/>
        <v>0</v>
      </c>
      <c r="T157" s="33"/>
      <c r="U157" s="33">
        <f>Q157</f>
        <v>0</v>
      </c>
      <c r="V157" s="33"/>
      <c r="W157" s="20">
        <f t="shared" si="109"/>
        <v>0</v>
      </c>
      <c r="X157" s="44"/>
      <c r="Y157" s="46"/>
      <c r="Z157" s="76"/>
    </row>
    <row r="158" spans="1:29" s="43" customFormat="1" ht="86.25" customHeight="1" x14ac:dyDescent="0.2">
      <c r="A158" s="51">
        <v>3</v>
      </c>
      <c r="B158" s="101" t="s">
        <v>126</v>
      </c>
      <c r="C158" s="102"/>
      <c r="D158" s="102"/>
      <c r="E158" s="102"/>
      <c r="F158" s="102"/>
      <c r="G158" s="103">
        <f>H158+I158+J158</f>
        <v>66074.399999999994</v>
      </c>
      <c r="H158" s="103">
        <f>H159</f>
        <v>49604.800000000003</v>
      </c>
      <c r="I158" s="103">
        <f>I159</f>
        <v>16469.599999999999</v>
      </c>
      <c r="J158" s="103">
        <f>J159</f>
        <v>0</v>
      </c>
      <c r="K158" s="103">
        <f t="shared" si="108"/>
        <v>66074.399999999994</v>
      </c>
      <c r="L158" s="103">
        <f>L159</f>
        <v>49604.800000000003</v>
      </c>
      <c r="M158" s="103">
        <f>M159</f>
        <v>16469.599999999999</v>
      </c>
      <c r="N158" s="103">
        <f>N159</f>
        <v>0</v>
      </c>
      <c r="O158" s="103">
        <f t="shared" si="110"/>
        <v>59365</v>
      </c>
      <c r="P158" s="103">
        <f>P159</f>
        <v>49604.800000000003</v>
      </c>
      <c r="Q158" s="103">
        <f>Q159</f>
        <v>9760.2000000000007</v>
      </c>
      <c r="R158" s="103">
        <f>R159</f>
        <v>0</v>
      </c>
      <c r="S158" s="103">
        <f t="shared" si="111"/>
        <v>6365</v>
      </c>
      <c r="T158" s="99">
        <f>T159</f>
        <v>0</v>
      </c>
      <c r="U158" s="99">
        <f>U159</f>
        <v>6365</v>
      </c>
      <c r="V158" s="53">
        <f>V159</f>
        <v>0</v>
      </c>
      <c r="W158" s="75">
        <f t="shared" si="53"/>
        <v>9.6330802852541986</v>
      </c>
      <c r="X158" s="44"/>
      <c r="Y158" s="76"/>
      <c r="Z158" s="76"/>
    </row>
    <row r="159" spans="1:29" s="43" customFormat="1" ht="77.25" customHeight="1" x14ac:dyDescent="0.2">
      <c r="A159" s="32" t="s">
        <v>30</v>
      </c>
      <c r="B159" s="72" t="s">
        <v>272</v>
      </c>
      <c r="C159" s="24" t="s">
        <v>290</v>
      </c>
      <c r="D159" s="24"/>
      <c r="E159" s="24"/>
      <c r="F159" s="24" t="s">
        <v>91</v>
      </c>
      <c r="G159" s="39">
        <f>SUM(H159:J159)</f>
        <v>66074.399999999994</v>
      </c>
      <c r="H159" s="33">
        <f>L159</f>
        <v>49604.800000000003</v>
      </c>
      <c r="I159" s="39">
        <f>M159</f>
        <v>16469.599999999999</v>
      </c>
      <c r="J159" s="33">
        <v>0</v>
      </c>
      <c r="K159" s="39">
        <f t="shared" si="108"/>
        <v>66074.399999999994</v>
      </c>
      <c r="L159" s="33">
        <v>49604.800000000003</v>
      </c>
      <c r="M159" s="39">
        <v>16469.599999999999</v>
      </c>
      <c r="N159" s="33"/>
      <c r="O159" s="39">
        <f t="shared" si="110"/>
        <v>59365</v>
      </c>
      <c r="P159" s="33">
        <v>49604.800000000003</v>
      </c>
      <c r="Q159" s="33">
        <v>9760.2000000000007</v>
      </c>
      <c r="R159" s="33"/>
      <c r="S159" s="39">
        <f t="shared" si="111"/>
        <v>6365</v>
      </c>
      <c r="T159" s="33"/>
      <c r="U159" s="33">
        <v>6365</v>
      </c>
      <c r="V159" s="33"/>
      <c r="W159" s="75">
        <f t="shared" si="53"/>
        <v>9.6330802852541986</v>
      </c>
      <c r="X159" s="44"/>
      <c r="Y159" s="46"/>
      <c r="Z159" s="76"/>
    </row>
    <row r="160" spans="1:29" ht="48.75" customHeight="1" x14ac:dyDescent="0.2">
      <c r="A160" s="128" t="s">
        <v>162</v>
      </c>
      <c r="B160" s="128"/>
      <c r="C160" s="28"/>
      <c r="D160" s="28"/>
      <c r="E160" s="28"/>
      <c r="F160" s="28"/>
      <c r="G160" s="10">
        <f>SUM(H160:J160)</f>
        <v>1031126.2999999999</v>
      </c>
      <c r="H160" s="10">
        <f>H161+H181</f>
        <v>5379.7</v>
      </c>
      <c r="I160" s="10">
        <f>I161+I181</f>
        <v>1025746.6</v>
      </c>
      <c r="J160" s="10">
        <f>J161+J181</f>
        <v>0</v>
      </c>
      <c r="K160" s="10">
        <f t="shared" si="108"/>
        <v>1031126.2999999999</v>
      </c>
      <c r="L160" s="10">
        <f>L161+L181</f>
        <v>5379.7</v>
      </c>
      <c r="M160" s="10">
        <f t="shared" ref="M160:V160" si="112">M161+M181</f>
        <v>1025746.6</v>
      </c>
      <c r="N160" s="10">
        <f t="shared" si="112"/>
        <v>0</v>
      </c>
      <c r="O160" s="10">
        <f t="shared" si="112"/>
        <v>1026793.8</v>
      </c>
      <c r="P160" s="10">
        <f t="shared" si="112"/>
        <v>5379.6</v>
      </c>
      <c r="Q160" s="10">
        <f t="shared" si="112"/>
        <v>1021414.2000000001</v>
      </c>
      <c r="R160" s="10">
        <f t="shared" si="112"/>
        <v>0</v>
      </c>
      <c r="S160" s="10">
        <f t="shared" si="112"/>
        <v>1026328.8</v>
      </c>
      <c r="T160" s="10">
        <f t="shared" si="112"/>
        <v>5379.6</v>
      </c>
      <c r="U160" s="10">
        <f t="shared" si="112"/>
        <v>1020949.2000000001</v>
      </c>
      <c r="V160" s="10">
        <f t="shared" si="112"/>
        <v>0</v>
      </c>
      <c r="W160" s="20">
        <f t="shared" si="53"/>
        <v>99.534732069194632</v>
      </c>
      <c r="X160" s="44"/>
      <c r="Y160" s="46"/>
      <c r="Z160" s="46"/>
      <c r="AA160" s="43"/>
      <c r="AB160" s="43"/>
      <c r="AC160" s="43"/>
    </row>
    <row r="161" spans="1:29" ht="54.75" customHeight="1" x14ac:dyDescent="0.2">
      <c r="A161" s="97">
        <v>1</v>
      </c>
      <c r="B161" s="97" t="s">
        <v>23</v>
      </c>
      <c r="C161" s="98"/>
      <c r="D161" s="98"/>
      <c r="E161" s="98"/>
      <c r="F161" s="98"/>
      <c r="G161" s="99">
        <f>H161+I161+J161</f>
        <v>76224.299999999988</v>
      </c>
      <c r="H161" s="99">
        <f>H162+H170+H175+H180</f>
        <v>5379.7</v>
      </c>
      <c r="I161" s="99">
        <f t="shared" ref="I161:J161" si="113">I162+I170+I175+I180</f>
        <v>70844.599999999991</v>
      </c>
      <c r="J161" s="99">
        <f t="shared" si="113"/>
        <v>0</v>
      </c>
      <c r="K161" s="99">
        <f>L161+M161+N161</f>
        <v>76224.299999999988</v>
      </c>
      <c r="L161" s="99">
        <f t="shared" ref="L161:N161" si="114">L162+L170+L175+L180</f>
        <v>5379.7</v>
      </c>
      <c r="M161" s="99">
        <f t="shared" si="114"/>
        <v>70844.599999999991</v>
      </c>
      <c r="N161" s="99">
        <f t="shared" si="114"/>
        <v>0</v>
      </c>
      <c r="O161" s="99">
        <f>P161+Q161+R161</f>
        <v>75215.700000000012</v>
      </c>
      <c r="P161" s="99">
        <f t="shared" ref="P161:R161" si="115">P162+P170+P175+P180</f>
        <v>5379.6</v>
      </c>
      <c r="Q161" s="99">
        <f t="shared" si="115"/>
        <v>69836.100000000006</v>
      </c>
      <c r="R161" s="99">
        <f t="shared" si="115"/>
        <v>0</v>
      </c>
      <c r="S161" s="99">
        <f>T161+U161+V161</f>
        <v>74750.7</v>
      </c>
      <c r="T161" s="99">
        <f t="shared" ref="T161:V161" si="116">T162+T170+T175+T180</f>
        <v>5379.6</v>
      </c>
      <c r="U161" s="99">
        <f t="shared" si="116"/>
        <v>69371.099999999991</v>
      </c>
      <c r="V161" s="13">
        <f t="shared" si="116"/>
        <v>0</v>
      </c>
      <c r="W161" s="20">
        <f t="shared" si="53"/>
        <v>98.06675823851451</v>
      </c>
      <c r="X161" s="44"/>
      <c r="Y161" s="46"/>
      <c r="Z161" s="46"/>
      <c r="AA161" s="43"/>
      <c r="AB161" s="43"/>
      <c r="AC161" s="43"/>
    </row>
    <row r="162" spans="1:29" ht="17.25" customHeight="1" x14ac:dyDescent="0.2">
      <c r="A162" s="129" t="s">
        <v>26</v>
      </c>
      <c r="B162" s="129" t="s">
        <v>163</v>
      </c>
      <c r="C162" s="29" t="s">
        <v>206</v>
      </c>
      <c r="D162" s="29"/>
      <c r="E162" s="29"/>
      <c r="F162" s="29"/>
      <c r="G162" s="9">
        <f t="shared" ref="G162:G184" si="117">H162+I162+J162</f>
        <v>67649.899999999994</v>
      </c>
      <c r="H162" s="6">
        <f>SUM(H163:H169)</f>
        <v>0</v>
      </c>
      <c r="I162" s="6">
        <f t="shared" ref="I162:J162" si="118">SUM(I163:I169)</f>
        <v>67649.899999999994</v>
      </c>
      <c r="J162" s="6">
        <f t="shared" si="118"/>
        <v>0</v>
      </c>
      <c r="K162" s="6">
        <f>SUM(L162:N162)</f>
        <v>67649.899999999994</v>
      </c>
      <c r="L162" s="6">
        <f t="shared" ref="L162:N162" si="119">SUM(L163:L169)</f>
        <v>0</v>
      </c>
      <c r="M162" s="39">
        <f t="shared" si="119"/>
        <v>67649.899999999994</v>
      </c>
      <c r="N162" s="6">
        <f t="shared" si="119"/>
        <v>0</v>
      </c>
      <c r="O162" s="6">
        <f>SUM(P162:R162)</f>
        <v>66641.8</v>
      </c>
      <c r="P162" s="33">
        <f t="shared" ref="P162:R162" si="120">SUM(P163:P169)</f>
        <v>0</v>
      </c>
      <c r="Q162" s="33">
        <f t="shared" si="120"/>
        <v>66641.8</v>
      </c>
      <c r="R162" s="6">
        <f t="shared" si="120"/>
        <v>0</v>
      </c>
      <c r="S162" s="6">
        <f>SUM(T162:V162)</f>
        <v>66183.599999999991</v>
      </c>
      <c r="T162" s="33">
        <f t="shared" ref="T162:V162" si="121">SUM(T163:T169)</f>
        <v>0</v>
      </c>
      <c r="U162" s="33">
        <f t="shared" si="121"/>
        <v>66183.599999999991</v>
      </c>
      <c r="V162" s="6">
        <f t="shared" si="121"/>
        <v>0</v>
      </c>
      <c r="W162" s="20">
        <f t="shared" si="53"/>
        <v>97.83251712123743</v>
      </c>
      <c r="X162" s="44"/>
      <c r="Y162" s="46"/>
      <c r="Z162" s="46"/>
      <c r="AA162" s="43"/>
      <c r="AB162" s="43"/>
      <c r="AC162" s="43"/>
    </row>
    <row r="163" spans="1:29" ht="17.25" customHeight="1" x14ac:dyDescent="0.2">
      <c r="A163" s="130"/>
      <c r="B163" s="130"/>
      <c r="C163" s="29" t="s">
        <v>206</v>
      </c>
      <c r="D163" s="29"/>
      <c r="E163" s="29"/>
      <c r="F163" s="29" t="s">
        <v>69</v>
      </c>
      <c r="G163" s="9">
        <f t="shared" ref="G163" si="122">H163+I163+J163</f>
        <v>50328.2</v>
      </c>
      <c r="H163" s="6"/>
      <c r="I163" s="9">
        <f>M163</f>
        <v>50328.2</v>
      </c>
      <c r="J163" s="8"/>
      <c r="K163" s="6">
        <f>SUM(L163:N163)</f>
        <v>50328.2</v>
      </c>
      <c r="L163" s="6"/>
      <c r="M163" s="39">
        <f>50098.46+229.74</f>
        <v>50328.2</v>
      </c>
      <c r="N163" s="6"/>
      <c r="O163" s="6">
        <f>SUM(P163:R163)</f>
        <v>50328.2</v>
      </c>
      <c r="P163" s="33"/>
      <c r="Q163" s="33">
        <f>50328.2</f>
        <v>50328.2</v>
      </c>
      <c r="R163" s="6"/>
      <c r="S163" s="6">
        <f>SUM(T163:V163)</f>
        <v>50328.2</v>
      </c>
      <c r="T163" s="33"/>
      <c r="U163" s="33">
        <f>Q163</f>
        <v>50328.2</v>
      </c>
      <c r="V163" s="6"/>
      <c r="W163" s="20"/>
      <c r="X163" s="44"/>
      <c r="Y163" s="46"/>
      <c r="Z163" s="46"/>
      <c r="AA163" s="43"/>
      <c r="AB163" s="43"/>
      <c r="AC163" s="43"/>
    </row>
    <row r="164" spans="1:29" ht="17.25" customHeight="1" x14ac:dyDescent="0.2">
      <c r="A164" s="130"/>
      <c r="B164" s="130"/>
      <c r="C164" s="29" t="s">
        <v>206</v>
      </c>
      <c r="D164" s="29"/>
      <c r="E164" s="29"/>
      <c r="F164" s="29" t="s">
        <v>68</v>
      </c>
      <c r="G164" s="9">
        <f t="shared" si="117"/>
        <v>770</v>
      </c>
      <c r="H164" s="6"/>
      <c r="I164" s="9">
        <f t="shared" ref="I164:I169" si="123">M164</f>
        <v>770</v>
      </c>
      <c r="J164" s="8"/>
      <c r="K164" s="6">
        <f t="shared" ref="K164:K180" si="124">SUM(L164:N164)</f>
        <v>770</v>
      </c>
      <c r="L164" s="6"/>
      <c r="M164" s="39">
        <f>19+496.5+254.5</f>
        <v>770</v>
      </c>
      <c r="N164" s="6"/>
      <c r="O164" s="6">
        <f t="shared" ref="O164:O169" si="125">SUM(P164:R164)</f>
        <v>545.70000000000005</v>
      </c>
      <c r="P164" s="33"/>
      <c r="Q164" s="33">
        <f>545.7</f>
        <v>545.70000000000005</v>
      </c>
      <c r="R164" s="6"/>
      <c r="S164" s="6">
        <f t="shared" ref="S164:S169" si="126">SUM(T164:V164)</f>
        <v>545.70000000000005</v>
      </c>
      <c r="T164" s="33"/>
      <c r="U164" s="33">
        <f>Q164</f>
        <v>545.70000000000005</v>
      </c>
      <c r="V164" s="6"/>
      <c r="W164" s="20">
        <f t="shared" si="53"/>
        <v>70.870129870129873</v>
      </c>
      <c r="X164" s="44"/>
      <c r="Y164" s="46"/>
      <c r="Z164" s="46"/>
      <c r="AA164" s="43"/>
      <c r="AB164" s="43"/>
      <c r="AC164" s="43"/>
    </row>
    <row r="165" spans="1:29" ht="17.25" customHeight="1" x14ac:dyDescent="0.2">
      <c r="A165" s="130"/>
      <c r="B165" s="130"/>
      <c r="C165" s="29" t="s">
        <v>206</v>
      </c>
      <c r="D165" s="29"/>
      <c r="E165" s="29"/>
      <c r="F165" s="29" t="s">
        <v>70</v>
      </c>
      <c r="G165" s="9">
        <f t="shared" si="117"/>
        <v>14008.3</v>
      </c>
      <c r="H165" s="6"/>
      <c r="I165" s="9">
        <f t="shared" si="123"/>
        <v>14008.3</v>
      </c>
      <c r="J165" s="8"/>
      <c r="K165" s="6">
        <f t="shared" si="124"/>
        <v>14008.3</v>
      </c>
      <c r="L165" s="6"/>
      <c r="M165" s="39">
        <v>14008.3</v>
      </c>
      <c r="N165" s="6"/>
      <c r="O165" s="6">
        <f t="shared" si="125"/>
        <v>14008.3</v>
      </c>
      <c r="P165" s="33"/>
      <c r="Q165" s="33">
        <v>14008.3</v>
      </c>
      <c r="R165" s="6"/>
      <c r="S165" s="6">
        <f t="shared" si="126"/>
        <v>13550.1</v>
      </c>
      <c r="T165" s="33"/>
      <c r="U165" s="33">
        <f>13550.1</f>
        <v>13550.1</v>
      </c>
      <c r="V165" s="6"/>
      <c r="W165" s="20">
        <f t="shared" si="53"/>
        <v>96.729082044216653</v>
      </c>
      <c r="X165" s="44"/>
      <c r="Y165" s="46"/>
      <c r="Z165" s="46"/>
      <c r="AA165" s="43"/>
      <c r="AB165" s="43"/>
      <c r="AC165" s="43"/>
    </row>
    <row r="166" spans="1:29" ht="17.25" customHeight="1" x14ac:dyDescent="0.2">
      <c r="A166" s="130"/>
      <c r="B166" s="130"/>
      <c r="C166" s="29" t="s">
        <v>206</v>
      </c>
      <c r="D166" s="29"/>
      <c r="E166" s="29"/>
      <c r="F166" s="29" t="s">
        <v>56</v>
      </c>
      <c r="G166" s="9">
        <f t="shared" si="117"/>
        <v>2523.4</v>
      </c>
      <c r="H166" s="6"/>
      <c r="I166" s="9">
        <f t="shared" si="123"/>
        <v>2523.4</v>
      </c>
      <c r="J166" s="8"/>
      <c r="K166" s="6">
        <f t="shared" si="124"/>
        <v>2523.4</v>
      </c>
      <c r="L166" s="6"/>
      <c r="M166" s="39">
        <v>2523.4</v>
      </c>
      <c r="N166" s="6"/>
      <c r="O166" s="6">
        <f t="shared" si="125"/>
        <v>1759.6</v>
      </c>
      <c r="P166" s="33"/>
      <c r="Q166" s="33">
        <f>1759.6</f>
        <v>1759.6</v>
      </c>
      <c r="R166" s="6"/>
      <c r="S166" s="6">
        <f t="shared" si="126"/>
        <v>1759.6</v>
      </c>
      <c r="T166" s="33"/>
      <c r="U166" s="33">
        <f>Q166</f>
        <v>1759.6</v>
      </c>
      <c r="V166" s="6"/>
      <c r="W166" s="20">
        <f t="shared" si="53"/>
        <v>69.731314892605212</v>
      </c>
      <c r="X166" s="44"/>
      <c r="Y166" s="46"/>
      <c r="Z166" s="46"/>
      <c r="AA166" s="43"/>
      <c r="AB166" s="43"/>
      <c r="AC166" s="43"/>
    </row>
    <row r="167" spans="1:29" ht="17.25" hidden="1" customHeight="1" x14ac:dyDescent="0.2">
      <c r="A167" s="130"/>
      <c r="B167" s="130"/>
      <c r="C167" s="29" t="s">
        <v>206</v>
      </c>
      <c r="D167" s="29"/>
      <c r="E167" s="29"/>
      <c r="F167" s="29" t="s">
        <v>71</v>
      </c>
      <c r="G167" s="9">
        <f t="shared" si="117"/>
        <v>0</v>
      </c>
      <c r="H167" s="6"/>
      <c r="I167" s="9">
        <f t="shared" si="123"/>
        <v>0</v>
      </c>
      <c r="J167" s="8"/>
      <c r="K167" s="6">
        <f t="shared" si="124"/>
        <v>0</v>
      </c>
      <c r="L167" s="6"/>
      <c r="M167" s="39"/>
      <c r="N167" s="6"/>
      <c r="O167" s="6">
        <f t="shared" si="125"/>
        <v>0</v>
      </c>
      <c r="P167" s="33"/>
      <c r="Q167" s="33"/>
      <c r="R167" s="6"/>
      <c r="S167" s="6">
        <f t="shared" si="126"/>
        <v>0</v>
      </c>
      <c r="T167" s="33"/>
      <c r="U167" s="33">
        <v>0</v>
      </c>
      <c r="V167" s="6"/>
      <c r="W167" s="20" t="e">
        <f t="shared" si="53"/>
        <v>#DIV/0!</v>
      </c>
      <c r="X167" s="44"/>
      <c r="Y167" s="46"/>
      <c r="Z167" s="46"/>
      <c r="AA167" s="43"/>
      <c r="AB167" s="43"/>
      <c r="AC167" s="43"/>
    </row>
    <row r="168" spans="1:29" ht="17.25" customHeight="1" x14ac:dyDescent="0.2">
      <c r="A168" s="130"/>
      <c r="B168" s="130"/>
      <c r="C168" s="29" t="s">
        <v>206</v>
      </c>
      <c r="D168" s="29"/>
      <c r="E168" s="29"/>
      <c r="F168" s="29" t="s">
        <v>72</v>
      </c>
      <c r="G168" s="9">
        <f t="shared" si="117"/>
        <v>20</v>
      </c>
      <c r="H168" s="6"/>
      <c r="I168" s="9">
        <f t="shared" si="123"/>
        <v>20</v>
      </c>
      <c r="J168" s="8"/>
      <c r="K168" s="6">
        <f t="shared" si="124"/>
        <v>20</v>
      </c>
      <c r="L168" s="6"/>
      <c r="M168" s="39">
        <v>20</v>
      </c>
      <c r="N168" s="6"/>
      <c r="O168" s="6">
        <f t="shared" si="125"/>
        <v>0</v>
      </c>
      <c r="P168" s="33"/>
      <c r="Q168" s="33"/>
      <c r="R168" s="6"/>
      <c r="S168" s="6">
        <f t="shared" si="126"/>
        <v>0</v>
      </c>
      <c r="T168" s="33"/>
      <c r="U168" s="33">
        <v>0</v>
      </c>
      <c r="V168" s="6"/>
      <c r="W168" s="20">
        <f t="shared" si="53"/>
        <v>0</v>
      </c>
      <c r="X168" s="44"/>
      <c r="Y168" s="46"/>
      <c r="Z168" s="46"/>
      <c r="AA168" s="43"/>
      <c r="AB168" s="43"/>
      <c r="AC168" s="43"/>
    </row>
    <row r="169" spans="1:29" ht="17.25" hidden="1" customHeight="1" x14ac:dyDescent="0.2">
      <c r="A169" s="130"/>
      <c r="B169" s="130"/>
      <c r="C169" s="29" t="s">
        <v>206</v>
      </c>
      <c r="D169" s="29"/>
      <c r="E169" s="29"/>
      <c r="F169" s="29" t="s">
        <v>75</v>
      </c>
      <c r="G169" s="9">
        <f t="shared" si="117"/>
        <v>0</v>
      </c>
      <c r="H169" s="6"/>
      <c r="I169" s="9">
        <f t="shared" si="123"/>
        <v>0</v>
      </c>
      <c r="J169" s="8"/>
      <c r="K169" s="6">
        <f t="shared" si="124"/>
        <v>0</v>
      </c>
      <c r="L169" s="6"/>
      <c r="M169" s="91"/>
      <c r="N169" s="6"/>
      <c r="O169" s="6">
        <f t="shared" si="125"/>
        <v>0</v>
      </c>
      <c r="P169" s="92"/>
      <c r="Q169" s="92"/>
      <c r="R169" s="6"/>
      <c r="S169" s="6">
        <f t="shared" si="126"/>
        <v>0</v>
      </c>
      <c r="T169" s="92"/>
      <c r="U169" s="92">
        <v>0</v>
      </c>
      <c r="V169" s="6"/>
      <c r="W169" s="20" t="e">
        <f t="shared" si="53"/>
        <v>#DIV/0!</v>
      </c>
      <c r="X169" s="44"/>
      <c r="Y169" s="46"/>
      <c r="Z169" s="46"/>
      <c r="AA169" s="43"/>
      <c r="AB169" s="43"/>
      <c r="AC169" s="43"/>
    </row>
    <row r="170" spans="1:29" ht="18.75" customHeight="1" x14ac:dyDescent="0.2">
      <c r="A170" s="112" t="s">
        <v>27</v>
      </c>
      <c r="B170" s="115" t="s">
        <v>273</v>
      </c>
      <c r="C170" s="29"/>
      <c r="D170" s="29" t="s">
        <v>207</v>
      </c>
      <c r="E170" s="29"/>
      <c r="F170" s="29"/>
      <c r="G170" s="9">
        <f t="shared" si="117"/>
        <v>5379.7</v>
      </c>
      <c r="H170" s="6">
        <f>SUM(H171:H174)</f>
        <v>5379.7</v>
      </c>
      <c r="I170" s="6">
        <f t="shared" ref="I170:J170" si="127">SUM(I171:I174)</f>
        <v>0</v>
      </c>
      <c r="J170" s="8">
        <f t="shared" si="127"/>
        <v>0</v>
      </c>
      <c r="K170" s="6">
        <f t="shared" si="124"/>
        <v>5379.7</v>
      </c>
      <c r="L170" s="33">
        <f t="shared" ref="L170:N170" si="128">SUM(L171:L174)</f>
        <v>5379.7</v>
      </c>
      <c r="M170" s="33">
        <f t="shared" si="128"/>
        <v>0</v>
      </c>
      <c r="N170" s="6">
        <f t="shared" si="128"/>
        <v>0</v>
      </c>
      <c r="O170" s="6">
        <f t="shared" ref="O170:O180" si="129">SUM(P170:R170)</f>
        <v>5379.6</v>
      </c>
      <c r="P170" s="33">
        <f t="shared" ref="P170:R170" si="130">SUM(P171:P174)</f>
        <v>5379.6</v>
      </c>
      <c r="Q170" s="33">
        <f t="shared" si="130"/>
        <v>0</v>
      </c>
      <c r="R170" s="6">
        <f t="shared" si="130"/>
        <v>0</v>
      </c>
      <c r="S170" s="6">
        <f t="shared" ref="S170:S180" si="131">SUM(T170:V170)</f>
        <v>5379.6</v>
      </c>
      <c r="T170" s="33">
        <f t="shared" ref="T170:V170" si="132">SUM(T171:T174)</f>
        <v>5379.6</v>
      </c>
      <c r="U170" s="33">
        <f t="shared" si="132"/>
        <v>0</v>
      </c>
      <c r="V170" s="6">
        <f t="shared" si="132"/>
        <v>0</v>
      </c>
      <c r="W170" s="20">
        <f t="shared" si="53"/>
        <v>99.998141160287759</v>
      </c>
      <c r="X170" s="44"/>
      <c r="Y170" s="46"/>
      <c r="Z170" s="46"/>
      <c r="AA170" s="43"/>
      <c r="AB170" s="43"/>
      <c r="AC170" s="43"/>
    </row>
    <row r="171" spans="1:29" ht="18.75" customHeight="1" x14ac:dyDescent="0.2">
      <c r="A171" s="113"/>
      <c r="B171" s="116"/>
      <c r="C171" s="29"/>
      <c r="D171" s="29" t="s">
        <v>207</v>
      </c>
      <c r="E171" s="29"/>
      <c r="F171" s="29" t="s">
        <v>69</v>
      </c>
      <c r="G171" s="9">
        <f t="shared" ref="G171" si="133">H171+I171+J171</f>
        <v>4213.8999999999996</v>
      </c>
      <c r="H171" s="6">
        <f>L171</f>
        <v>4213.8999999999996</v>
      </c>
      <c r="I171" s="6"/>
      <c r="J171" s="8"/>
      <c r="K171" s="6">
        <f t="shared" ref="K171" si="134">SUM(L171:N171)</f>
        <v>4213.8999999999996</v>
      </c>
      <c r="L171" s="33">
        <v>4213.8999999999996</v>
      </c>
      <c r="M171" s="33"/>
      <c r="N171" s="6"/>
      <c r="O171" s="6">
        <f t="shared" ref="O171" si="135">SUM(P171:R171)</f>
        <v>4213.8</v>
      </c>
      <c r="P171" s="33">
        <f>4213.8</f>
        <v>4213.8</v>
      </c>
      <c r="Q171" s="33"/>
      <c r="R171" s="6"/>
      <c r="S171" s="6">
        <f t="shared" ref="S171" si="136">SUM(T171:V171)</f>
        <v>4213.8</v>
      </c>
      <c r="T171" s="33">
        <f>P171</f>
        <v>4213.8</v>
      </c>
      <c r="U171" s="33"/>
      <c r="V171" s="6"/>
      <c r="W171" s="20">
        <f t="shared" si="53"/>
        <v>99.99762690144523</v>
      </c>
      <c r="X171" s="44"/>
      <c r="Y171" s="46"/>
      <c r="Z171" s="46"/>
      <c r="AA171" s="43"/>
      <c r="AB171" s="43"/>
      <c r="AC171" s="43"/>
    </row>
    <row r="172" spans="1:29" ht="18.75" hidden="1" customHeight="1" x14ac:dyDescent="0.2">
      <c r="A172" s="113"/>
      <c r="B172" s="116"/>
      <c r="C172" s="29"/>
      <c r="D172" s="29" t="s">
        <v>207</v>
      </c>
      <c r="E172" s="29"/>
      <c r="F172" s="29" t="s">
        <v>68</v>
      </c>
      <c r="G172" s="9">
        <f t="shared" si="117"/>
        <v>0</v>
      </c>
      <c r="H172" s="6">
        <f t="shared" ref="H172:H174" si="137">L172</f>
        <v>0</v>
      </c>
      <c r="I172" s="6"/>
      <c r="J172" s="8"/>
      <c r="K172" s="6">
        <f t="shared" si="124"/>
        <v>0</v>
      </c>
      <c r="L172" s="33"/>
      <c r="M172" s="33"/>
      <c r="N172" s="6"/>
      <c r="O172" s="6">
        <f t="shared" si="129"/>
        <v>0</v>
      </c>
      <c r="P172" s="33">
        <v>0</v>
      </c>
      <c r="Q172" s="33">
        <f>U172</f>
        <v>0</v>
      </c>
      <c r="R172" s="6"/>
      <c r="S172" s="6">
        <f t="shared" si="131"/>
        <v>0</v>
      </c>
      <c r="T172" s="33">
        <v>0</v>
      </c>
      <c r="U172" s="33"/>
      <c r="V172" s="6"/>
      <c r="W172" s="20" t="e">
        <f t="shared" ref="W172:W173" si="138">S172*100/K172</f>
        <v>#DIV/0!</v>
      </c>
      <c r="X172" s="44"/>
      <c r="Y172" s="46"/>
      <c r="Z172" s="46"/>
      <c r="AA172" s="43"/>
      <c r="AB172" s="43"/>
      <c r="AC172" s="43"/>
    </row>
    <row r="173" spans="1:29" ht="18.75" customHeight="1" x14ac:dyDescent="0.2">
      <c r="A173" s="113"/>
      <c r="B173" s="116"/>
      <c r="C173" s="29"/>
      <c r="D173" s="29" t="s">
        <v>207</v>
      </c>
      <c r="E173" s="29"/>
      <c r="F173" s="29" t="s">
        <v>70</v>
      </c>
      <c r="G173" s="9">
        <f t="shared" si="117"/>
        <v>1157</v>
      </c>
      <c r="H173" s="6">
        <f t="shared" si="137"/>
        <v>1157</v>
      </c>
      <c r="I173" s="6"/>
      <c r="J173" s="8"/>
      <c r="K173" s="6">
        <f t="shared" si="124"/>
        <v>1157</v>
      </c>
      <c r="L173" s="33">
        <v>1157</v>
      </c>
      <c r="M173" s="33"/>
      <c r="N173" s="6"/>
      <c r="O173" s="6">
        <f t="shared" si="129"/>
        <v>1157</v>
      </c>
      <c r="P173" s="33">
        <v>1157</v>
      </c>
      <c r="Q173" s="33"/>
      <c r="R173" s="6"/>
      <c r="S173" s="6">
        <f t="shared" si="131"/>
        <v>1157</v>
      </c>
      <c r="T173" s="33">
        <f>P173</f>
        <v>1157</v>
      </c>
      <c r="U173" s="33"/>
      <c r="V173" s="6"/>
      <c r="W173" s="20">
        <f t="shared" si="138"/>
        <v>100</v>
      </c>
      <c r="X173" s="44"/>
      <c r="Y173" s="46"/>
      <c r="Z173" s="46"/>
      <c r="AA173" s="43"/>
      <c r="AB173" s="43"/>
      <c r="AC173" s="43"/>
    </row>
    <row r="174" spans="1:29" ht="18.75" customHeight="1" x14ac:dyDescent="0.2">
      <c r="A174" s="114"/>
      <c r="B174" s="117"/>
      <c r="C174" s="29"/>
      <c r="D174" s="29" t="s">
        <v>207</v>
      </c>
      <c r="E174" s="29"/>
      <c r="F174" s="29" t="s">
        <v>56</v>
      </c>
      <c r="G174" s="9">
        <f t="shared" si="117"/>
        <v>8.8000000000000007</v>
      </c>
      <c r="H174" s="6">
        <f t="shared" si="137"/>
        <v>8.8000000000000007</v>
      </c>
      <c r="I174" s="6"/>
      <c r="J174" s="8"/>
      <c r="K174" s="6">
        <f t="shared" si="124"/>
        <v>8.8000000000000007</v>
      </c>
      <c r="L174" s="33">
        <v>8.8000000000000007</v>
      </c>
      <c r="M174" s="33"/>
      <c r="N174" s="6"/>
      <c r="O174" s="6">
        <f t="shared" si="129"/>
        <v>8.7999999999999989</v>
      </c>
      <c r="P174" s="33">
        <f>8.7+0.1</f>
        <v>8.7999999999999989</v>
      </c>
      <c r="Q174" s="33"/>
      <c r="R174" s="6"/>
      <c r="S174" s="6">
        <f t="shared" si="131"/>
        <v>8.7999999999999989</v>
      </c>
      <c r="T174" s="33">
        <f>P174</f>
        <v>8.7999999999999989</v>
      </c>
      <c r="U174" s="33"/>
      <c r="V174" s="6"/>
      <c r="W174" s="20">
        <f t="shared" ref="W174:W191" si="139">S174*100/K174</f>
        <v>99.999999999999986</v>
      </c>
      <c r="X174" s="44"/>
      <c r="Y174" s="46"/>
      <c r="Z174" s="46"/>
      <c r="AA174" s="43"/>
      <c r="AB174" s="43"/>
      <c r="AC174" s="43"/>
    </row>
    <row r="175" spans="1:29" ht="27" customHeight="1" x14ac:dyDescent="0.2">
      <c r="A175" s="112" t="s">
        <v>32</v>
      </c>
      <c r="B175" s="133" t="s">
        <v>274</v>
      </c>
      <c r="C175" s="29" t="s">
        <v>208</v>
      </c>
      <c r="D175" s="29"/>
      <c r="E175" s="29"/>
      <c r="F175" s="29"/>
      <c r="G175" s="9">
        <f t="shared" si="117"/>
        <v>2844.7</v>
      </c>
      <c r="H175" s="6">
        <f>SUM(H176:H179)</f>
        <v>0</v>
      </c>
      <c r="I175" s="6">
        <f t="shared" ref="I175:J175" si="140">SUM(I176:I179)</f>
        <v>2844.7</v>
      </c>
      <c r="J175" s="6">
        <f t="shared" si="140"/>
        <v>0</v>
      </c>
      <c r="K175" s="6">
        <f t="shared" si="124"/>
        <v>2844.7</v>
      </c>
      <c r="L175" s="6">
        <f t="shared" ref="L175:N175" si="141">SUM(L176:L179)</f>
        <v>0</v>
      </c>
      <c r="M175" s="39">
        <f t="shared" si="141"/>
        <v>2844.7</v>
      </c>
      <c r="N175" s="6">
        <f t="shared" si="141"/>
        <v>0</v>
      </c>
      <c r="O175" s="6">
        <f t="shared" si="129"/>
        <v>2844.3</v>
      </c>
      <c r="P175" s="33">
        <f t="shared" ref="P175:R175" si="142">SUM(P176:P179)</f>
        <v>0</v>
      </c>
      <c r="Q175" s="33">
        <f>SUM(Q176:Q179)</f>
        <v>2844.3</v>
      </c>
      <c r="R175" s="6">
        <f t="shared" si="142"/>
        <v>0</v>
      </c>
      <c r="S175" s="6">
        <f t="shared" si="131"/>
        <v>2837.5000000000005</v>
      </c>
      <c r="T175" s="33">
        <f t="shared" ref="T175:V175" si="143">SUM(T176:T179)</f>
        <v>0</v>
      </c>
      <c r="U175" s="33">
        <f t="shared" si="143"/>
        <v>2837.5000000000005</v>
      </c>
      <c r="V175" s="6">
        <f t="shared" si="143"/>
        <v>0</v>
      </c>
      <c r="W175" s="20">
        <f t="shared" si="139"/>
        <v>99.746897739656234</v>
      </c>
      <c r="X175" s="44"/>
      <c r="Y175" s="46"/>
      <c r="Z175" s="46"/>
      <c r="AA175" s="43"/>
      <c r="AB175" s="43"/>
      <c r="AC175" s="43"/>
    </row>
    <row r="176" spans="1:29" ht="27" customHeight="1" x14ac:dyDescent="0.2">
      <c r="A176" s="113"/>
      <c r="B176" s="134"/>
      <c r="C176" s="29" t="s">
        <v>208</v>
      </c>
      <c r="D176" s="29"/>
      <c r="E176" s="29"/>
      <c r="F176" s="29" t="s">
        <v>68</v>
      </c>
      <c r="G176" s="9">
        <f t="shared" ref="G176:G177" si="144">H176+I176+J176</f>
        <v>2655.1</v>
      </c>
      <c r="H176" s="6"/>
      <c r="I176" s="9">
        <f>M176</f>
        <v>2655.1</v>
      </c>
      <c r="J176" s="8"/>
      <c r="K176" s="6">
        <f t="shared" ref="K176" si="145">SUM(L176:N176)</f>
        <v>2655.1</v>
      </c>
      <c r="L176" s="6"/>
      <c r="M176" s="39">
        <v>2655.1</v>
      </c>
      <c r="N176" s="6"/>
      <c r="O176" s="6">
        <f t="shared" ref="O176" si="146">SUM(P176:R176)</f>
        <v>2655.1</v>
      </c>
      <c r="P176" s="33"/>
      <c r="Q176" s="33">
        <f>2655.1</f>
        <v>2655.1</v>
      </c>
      <c r="R176" s="6"/>
      <c r="S176" s="6">
        <f t="shared" ref="S176" si="147">SUM(T176:V176)</f>
        <v>2648.3</v>
      </c>
      <c r="T176" s="33"/>
      <c r="U176" s="33">
        <f>2648.3</f>
        <v>2648.3</v>
      </c>
      <c r="V176" s="6"/>
      <c r="W176" s="20">
        <f t="shared" si="139"/>
        <v>99.743889119053904</v>
      </c>
      <c r="X176" s="44"/>
      <c r="Y176" s="46"/>
      <c r="Z176" s="46"/>
      <c r="AA176" s="43"/>
      <c r="AB176" s="43"/>
      <c r="AC176" s="43"/>
    </row>
    <row r="177" spans="1:29" ht="27" customHeight="1" x14ac:dyDescent="0.2">
      <c r="A177" s="113"/>
      <c r="B177" s="134"/>
      <c r="C177" s="29" t="s">
        <v>209</v>
      </c>
      <c r="D177" s="29"/>
      <c r="E177" s="29"/>
      <c r="F177" s="29" t="s">
        <v>68</v>
      </c>
      <c r="G177" s="9">
        <f t="shared" si="144"/>
        <v>55.6</v>
      </c>
      <c r="H177" s="6"/>
      <c r="I177" s="9">
        <f t="shared" ref="I177:I180" si="148">M177</f>
        <v>55.6</v>
      </c>
      <c r="J177" s="8"/>
      <c r="K177" s="6">
        <f t="shared" si="124"/>
        <v>55.6</v>
      </c>
      <c r="L177" s="6"/>
      <c r="M177" s="39">
        <v>55.6</v>
      </c>
      <c r="N177" s="6"/>
      <c r="O177" s="6">
        <f t="shared" si="129"/>
        <v>55.4</v>
      </c>
      <c r="P177" s="33"/>
      <c r="Q177" s="33">
        <f>55.4</f>
        <v>55.4</v>
      </c>
      <c r="R177" s="6"/>
      <c r="S177" s="6">
        <f t="shared" si="131"/>
        <v>55.4</v>
      </c>
      <c r="T177" s="33"/>
      <c r="U177" s="33">
        <f>55.4</f>
        <v>55.4</v>
      </c>
      <c r="V177" s="6"/>
      <c r="W177" s="20">
        <f t="shared" si="139"/>
        <v>99.640287769784166</v>
      </c>
      <c r="X177" s="44"/>
      <c r="Y177" s="46"/>
      <c r="Z177" s="46"/>
      <c r="AA177" s="43"/>
      <c r="AB177" s="43"/>
      <c r="AC177" s="43"/>
    </row>
    <row r="178" spans="1:29" ht="27" customHeight="1" x14ac:dyDescent="0.2">
      <c r="A178" s="113"/>
      <c r="B178" s="134"/>
      <c r="C178" s="29" t="s">
        <v>209</v>
      </c>
      <c r="D178" s="29"/>
      <c r="E178" s="29"/>
      <c r="F178" s="29" t="s">
        <v>65</v>
      </c>
      <c r="G178" s="9">
        <f>H178+I178+J178</f>
        <v>134</v>
      </c>
      <c r="H178" s="6"/>
      <c r="I178" s="9">
        <f t="shared" si="148"/>
        <v>134</v>
      </c>
      <c r="J178" s="8"/>
      <c r="K178" s="6">
        <f>SUM(L178:N178)</f>
        <v>134</v>
      </c>
      <c r="L178" s="6"/>
      <c r="M178" s="39">
        <v>134</v>
      </c>
      <c r="N178" s="6"/>
      <c r="O178" s="6">
        <f t="shared" si="129"/>
        <v>133.80000000000001</v>
      </c>
      <c r="P178" s="33"/>
      <c r="Q178" s="33">
        <f>133.8</f>
        <v>133.80000000000001</v>
      </c>
      <c r="R178" s="6"/>
      <c r="S178" s="6">
        <f t="shared" si="131"/>
        <v>133.80000000000001</v>
      </c>
      <c r="T178" s="33"/>
      <c r="U178" s="33">
        <f>133.8</f>
        <v>133.80000000000001</v>
      </c>
      <c r="V178" s="6"/>
      <c r="W178" s="20">
        <f t="shared" si="139"/>
        <v>99.850746268656735</v>
      </c>
      <c r="X178" s="44"/>
      <c r="Y178" s="46"/>
      <c r="Z178" s="46"/>
      <c r="AA178" s="43"/>
      <c r="AB178" s="43"/>
      <c r="AC178" s="43"/>
    </row>
    <row r="179" spans="1:29" ht="27" hidden="1" customHeight="1" x14ac:dyDescent="0.2">
      <c r="A179" s="113"/>
      <c r="B179" s="134"/>
      <c r="C179" s="24"/>
      <c r="D179" s="24"/>
      <c r="E179" s="24"/>
      <c r="F179" s="24" t="s">
        <v>68</v>
      </c>
      <c r="G179" s="39">
        <f t="shared" si="117"/>
        <v>0</v>
      </c>
      <c r="H179" s="33"/>
      <c r="I179" s="9">
        <f t="shared" si="148"/>
        <v>0</v>
      </c>
      <c r="J179" s="65"/>
      <c r="K179" s="33">
        <f t="shared" si="124"/>
        <v>0</v>
      </c>
      <c r="L179" s="33"/>
      <c r="M179" s="39"/>
      <c r="N179" s="6"/>
      <c r="O179" s="6">
        <f t="shared" si="129"/>
        <v>0</v>
      </c>
      <c r="P179" s="33"/>
      <c r="Q179" s="33"/>
      <c r="R179" s="6"/>
      <c r="S179" s="6">
        <f t="shared" si="131"/>
        <v>0</v>
      </c>
      <c r="T179" s="33"/>
      <c r="U179" s="33"/>
      <c r="V179" s="6"/>
      <c r="W179" s="20" t="e">
        <f t="shared" si="139"/>
        <v>#DIV/0!</v>
      </c>
      <c r="X179" s="44"/>
      <c r="Y179" s="46"/>
      <c r="Z179" s="46"/>
      <c r="AA179" s="43"/>
      <c r="AB179" s="43"/>
      <c r="AC179" s="43"/>
    </row>
    <row r="180" spans="1:29" ht="51" customHeight="1" x14ac:dyDescent="0.2">
      <c r="A180" s="24" t="s">
        <v>292</v>
      </c>
      <c r="B180" s="26" t="s">
        <v>293</v>
      </c>
      <c r="C180" s="24" t="s">
        <v>260</v>
      </c>
      <c r="D180" s="24"/>
      <c r="E180" s="24"/>
      <c r="F180" s="24" t="s">
        <v>68</v>
      </c>
      <c r="G180" s="39">
        <f t="shared" si="117"/>
        <v>350</v>
      </c>
      <c r="H180" s="33"/>
      <c r="I180" s="9">
        <f t="shared" si="148"/>
        <v>350</v>
      </c>
      <c r="J180" s="65"/>
      <c r="K180" s="33">
        <f t="shared" si="124"/>
        <v>350</v>
      </c>
      <c r="L180" s="33"/>
      <c r="M180" s="39">
        <v>350</v>
      </c>
      <c r="N180" s="6"/>
      <c r="O180" s="6">
        <f t="shared" si="129"/>
        <v>350</v>
      </c>
      <c r="P180" s="33"/>
      <c r="Q180" s="33">
        <v>350</v>
      </c>
      <c r="R180" s="6"/>
      <c r="S180" s="6">
        <f t="shared" si="131"/>
        <v>350</v>
      </c>
      <c r="T180" s="33"/>
      <c r="U180" s="33">
        <v>350</v>
      </c>
      <c r="V180" s="6"/>
      <c r="W180" s="20">
        <f t="shared" si="139"/>
        <v>100</v>
      </c>
      <c r="X180" s="44"/>
      <c r="Y180" s="46"/>
      <c r="Z180" s="46"/>
      <c r="AA180" s="43"/>
      <c r="AB180" s="43"/>
      <c r="AC180" s="43"/>
    </row>
    <row r="181" spans="1:29" ht="45.75" customHeight="1" x14ac:dyDescent="0.2">
      <c r="A181" s="97">
        <v>2</v>
      </c>
      <c r="B181" s="97" t="s">
        <v>77</v>
      </c>
      <c r="C181" s="98"/>
      <c r="D181" s="98"/>
      <c r="E181" s="98"/>
      <c r="F181" s="98"/>
      <c r="G181" s="99">
        <f t="shared" si="117"/>
        <v>954902</v>
      </c>
      <c r="H181" s="99">
        <f>H182+H183+H184+H185+H188+H191</f>
        <v>0</v>
      </c>
      <c r="I181" s="99">
        <f t="shared" ref="I181:J181" si="149">I182+I183+I184+I185+I188+I191</f>
        <v>954902</v>
      </c>
      <c r="J181" s="99">
        <f t="shared" si="149"/>
        <v>0</v>
      </c>
      <c r="K181" s="99">
        <f>L181+M181+N181</f>
        <v>954902</v>
      </c>
      <c r="L181" s="99">
        <f t="shared" ref="L181:N181" si="150">L182+L183+L184+L185+L188+L191</f>
        <v>0</v>
      </c>
      <c r="M181" s="99">
        <f t="shared" si="150"/>
        <v>954902</v>
      </c>
      <c r="N181" s="99">
        <f t="shared" si="150"/>
        <v>0</v>
      </c>
      <c r="O181" s="99">
        <f>P181+Q181+R181</f>
        <v>951578.10000000009</v>
      </c>
      <c r="P181" s="99">
        <f t="shared" ref="P181:R181" si="151">P182+P183+P184+P185+P188+P191</f>
        <v>0</v>
      </c>
      <c r="Q181" s="99">
        <f t="shared" si="151"/>
        <v>951578.10000000009</v>
      </c>
      <c r="R181" s="99">
        <f t="shared" si="151"/>
        <v>0</v>
      </c>
      <c r="S181" s="99">
        <f>T181+U181+V181</f>
        <v>951578.10000000009</v>
      </c>
      <c r="T181" s="99">
        <f t="shared" ref="T181:V181" si="152">T182+T183+T184+T185+T188+T191</f>
        <v>0</v>
      </c>
      <c r="U181" s="99">
        <f t="shared" si="152"/>
        <v>951578.10000000009</v>
      </c>
      <c r="V181" s="13">
        <f t="shared" si="152"/>
        <v>0</v>
      </c>
      <c r="W181" s="20">
        <f t="shared" si="139"/>
        <v>99.651911923946145</v>
      </c>
      <c r="X181" s="44"/>
      <c r="Y181" s="46"/>
      <c r="Z181" s="46"/>
      <c r="AA181" s="43"/>
      <c r="AB181" s="43"/>
      <c r="AC181" s="43"/>
    </row>
    <row r="182" spans="1:29" ht="55.5" customHeight="1" x14ac:dyDescent="0.2">
      <c r="A182" s="24" t="s">
        <v>29</v>
      </c>
      <c r="B182" s="26" t="s">
        <v>275</v>
      </c>
      <c r="C182" s="29" t="s">
        <v>210</v>
      </c>
      <c r="D182" s="29"/>
      <c r="E182" s="29"/>
      <c r="F182" s="29" t="s">
        <v>73</v>
      </c>
      <c r="G182" s="9">
        <f t="shared" si="117"/>
        <v>144830.5</v>
      </c>
      <c r="H182" s="6">
        <v>0</v>
      </c>
      <c r="I182" s="9">
        <f>M182</f>
        <v>144830.5</v>
      </c>
      <c r="J182" s="6">
        <v>0</v>
      </c>
      <c r="K182" s="6">
        <f>SUM(L182:N182)</f>
        <v>144830.5</v>
      </c>
      <c r="L182" s="6"/>
      <c r="M182" s="39">
        <v>144830.5</v>
      </c>
      <c r="N182" s="33"/>
      <c r="O182" s="33">
        <f t="shared" ref="O182:O191" si="153">SUM(P182:R182)</f>
        <v>144830.5</v>
      </c>
      <c r="P182" s="33"/>
      <c r="Q182" s="33">
        <v>144830.5</v>
      </c>
      <c r="R182" s="33"/>
      <c r="S182" s="33">
        <f t="shared" ref="S182:S191" si="154">SUM(T182:V182)</f>
        <v>144830.5</v>
      </c>
      <c r="T182" s="33"/>
      <c r="U182" s="39">
        <v>144830.5</v>
      </c>
      <c r="V182" s="6"/>
      <c r="W182" s="20">
        <f t="shared" si="139"/>
        <v>100</v>
      </c>
      <c r="X182" s="44"/>
      <c r="Y182" s="46"/>
      <c r="Z182" s="46"/>
    </row>
    <row r="183" spans="1:29" ht="33.75" customHeight="1" x14ac:dyDescent="0.2">
      <c r="A183" s="24" t="s">
        <v>33</v>
      </c>
      <c r="B183" s="26" t="s">
        <v>164</v>
      </c>
      <c r="C183" s="29" t="s">
        <v>211</v>
      </c>
      <c r="D183" s="29"/>
      <c r="E183" s="29"/>
      <c r="F183" s="29" t="s">
        <v>73</v>
      </c>
      <c r="G183" s="9">
        <f t="shared" si="117"/>
        <v>687149.9</v>
      </c>
      <c r="H183" s="6">
        <v>0</v>
      </c>
      <c r="I183" s="9">
        <f t="shared" ref="I183:I191" si="155">M183</f>
        <v>687149.9</v>
      </c>
      <c r="J183" s="6">
        <v>0</v>
      </c>
      <c r="K183" s="6">
        <f t="shared" ref="K183:K191" si="156">SUM(L183:N183)</f>
        <v>687149.9</v>
      </c>
      <c r="L183" s="6"/>
      <c r="M183" s="39">
        <v>687149.9</v>
      </c>
      <c r="N183" s="33"/>
      <c r="O183" s="33">
        <f t="shared" si="153"/>
        <v>687149.9</v>
      </c>
      <c r="P183" s="33"/>
      <c r="Q183" s="33">
        <v>687149.9</v>
      </c>
      <c r="R183" s="33"/>
      <c r="S183" s="33">
        <f t="shared" si="154"/>
        <v>687149.9</v>
      </c>
      <c r="T183" s="33"/>
      <c r="U183" s="39">
        <v>687149.9</v>
      </c>
      <c r="V183" s="6"/>
      <c r="W183" s="20">
        <f t="shared" si="139"/>
        <v>100</v>
      </c>
      <c r="X183" s="44"/>
      <c r="Y183" s="46"/>
      <c r="Z183" s="46"/>
    </row>
    <row r="184" spans="1:29" ht="32.25" customHeight="1" x14ac:dyDescent="0.2">
      <c r="A184" s="24" t="s">
        <v>34</v>
      </c>
      <c r="B184" s="26" t="s">
        <v>165</v>
      </c>
      <c r="C184" s="29" t="s">
        <v>212</v>
      </c>
      <c r="D184" s="29"/>
      <c r="E184" s="29"/>
      <c r="F184" s="29" t="s">
        <v>73</v>
      </c>
      <c r="G184" s="9">
        <f t="shared" si="117"/>
        <v>83299.100000000006</v>
      </c>
      <c r="H184" s="6">
        <v>0</v>
      </c>
      <c r="I184" s="9">
        <f t="shared" si="155"/>
        <v>83299.100000000006</v>
      </c>
      <c r="J184" s="6">
        <v>0</v>
      </c>
      <c r="K184" s="6">
        <f t="shared" si="156"/>
        <v>83299.100000000006</v>
      </c>
      <c r="L184" s="6"/>
      <c r="M184" s="39">
        <v>83299.100000000006</v>
      </c>
      <c r="N184" s="33"/>
      <c r="O184" s="33">
        <f t="shared" si="153"/>
        <v>83299.100000000006</v>
      </c>
      <c r="P184" s="33"/>
      <c r="Q184" s="33">
        <v>83299.100000000006</v>
      </c>
      <c r="R184" s="33"/>
      <c r="S184" s="33">
        <f t="shared" si="154"/>
        <v>83299.100000000006</v>
      </c>
      <c r="T184" s="33"/>
      <c r="U184" s="39">
        <v>83299.100000000006</v>
      </c>
      <c r="V184" s="33"/>
      <c r="W184" s="75">
        <f t="shared" si="139"/>
        <v>100</v>
      </c>
      <c r="X184" s="44"/>
      <c r="Y184" s="46"/>
      <c r="Z184" s="46"/>
    </row>
    <row r="185" spans="1:29" ht="48" customHeight="1" x14ac:dyDescent="0.2">
      <c r="A185" s="112" t="s">
        <v>35</v>
      </c>
      <c r="B185" s="115" t="s">
        <v>274</v>
      </c>
      <c r="C185" s="29"/>
      <c r="D185" s="29"/>
      <c r="E185" s="31"/>
      <c r="F185" s="29"/>
      <c r="G185" s="9">
        <f t="shared" ref="G185:G191" si="157">H185+I185+J185</f>
        <v>26350.400000000001</v>
      </c>
      <c r="H185" s="6">
        <f>SUM(H186:H187)</f>
        <v>0</v>
      </c>
      <c r="I185" s="9">
        <f t="shared" ref="I185:J185" si="158">SUM(I186:I187)</f>
        <v>26350.400000000001</v>
      </c>
      <c r="J185" s="6">
        <f t="shared" si="158"/>
        <v>0</v>
      </c>
      <c r="K185" s="6">
        <f t="shared" si="156"/>
        <v>26350.400000000001</v>
      </c>
      <c r="L185" s="6">
        <f t="shared" ref="L185:N185" si="159">SUM(L186:L187)</f>
        <v>0</v>
      </c>
      <c r="M185" s="39">
        <f t="shared" si="159"/>
        <v>26350.400000000001</v>
      </c>
      <c r="N185" s="6">
        <f t="shared" si="159"/>
        <v>0</v>
      </c>
      <c r="O185" s="6">
        <f t="shared" si="153"/>
        <v>23672.799999999999</v>
      </c>
      <c r="P185" s="33">
        <f t="shared" ref="P185:R185" si="160">SUM(P186:P187)</f>
        <v>0</v>
      </c>
      <c r="Q185" s="33">
        <f t="shared" si="160"/>
        <v>23672.799999999999</v>
      </c>
      <c r="R185" s="33">
        <f t="shared" si="160"/>
        <v>0</v>
      </c>
      <c r="S185" s="33">
        <f t="shared" si="154"/>
        <v>23672.799999999999</v>
      </c>
      <c r="T185" s="33">
        <f t="shared" ref="T185:V185" si="161">SUM(T186:T187)</f>
        <v>0</v>
      </c>
      <c r="U185" s="39">
        <f t="shared" si="161"/>
        <v>23672.799999999999</v>
      </c>
      <c r="V185" s="6">
        <f t="shared" si="161"/>
        <v>0</v>
      </c>
      <c r="W185" s="20">
        <f t="shared" si="139"/>
        <v>89.838484425283866</v>
      </c>
      <c r="X185" s="44"/>
      <c r="Y185" s="68"/>
      <c r="Z185" s="68"/>
    </row>
    <row r="186" spans="1:29" ht="48" customHeight="1" x14ac:dyDescent="0.2">
      <c r="A186" s="113"/>
      <c r="B186" s="116"/>
      <c r="C186" s="29" t="s">
        <v>213</v>
      </c>
      <c r="D186" s="29"/>
      <c r="E186" s="31"/>
      <c r="F186" s="29" t="s">
        <v>54</v>
      </c>
      <c r="G186" s="9">
        <f t="shared" si="157"/>
        <v>23508</v>
      </c>
      <c r="H186" s="6">
        <v>0</v>
      </c>
      <c r="I186" s="9">
        <f t="shared" ref="I186" si="162">M186</f>
        <v>23508</v>
      </c>
      <c r="J186" s="6">
        <v>0</v>
      </c>
      <c r="K186" s="6">
        <f t="shared" ref="K186" si="163">SUM(L186:N186)</f>
        <v>23508</v>
      </c>
      <c r="L186" s="6"/>
      <c r="M186" s="39">
        <v>23508</v>
      </c>
      <c r="N186" s="6"/>
      <c r="O186" s="6">
        <f t="shared" ref="O186" si="164">SUM(P186:R186)</f>
        <v>21051.8</v>
      </c>
      <c r="P186" s="33"/>
      <c r="Q186" s="33">
        <v>21051.8</v>
      </c>
      <c r="R186" s="33"/>
      <c r="S186" s="33">
        <f t="shared" ref="S186" si="165">SUM(T186:V186)</f>
        <v>21051.8</v>
      </c>
      <c r="T186" s="33"/>
      <c r="U186" s="39">
        <f>Q186</f>
        <v>21051.8</v>
      </c>
      <c r="V186" s="6"/>
      <c r="W186" s="20"/>
      <c r="X186" s="44"/>
      <c r="Y186" s="68"/>
      <c r="Z186" s="68"/>
    </row>
    <row r="187" spans="1:29" ht="48" customHeight="1" x14ac:dyDescent="0.2">
      <c r="A187" s="114"/>
      <c r="B187" s="117"/>
      <c r="C187" s="29" t="s">
        <v>256</v>
      </c>
      <c r="D187" s="29"/>
      <c r="E187" s="31"/>
      <c r="F187" s="29" t="s">
        <v>54</v>
      </c>
      <c r="G187" s="9">
        <f t="shared" si="157"/>
        <v>2842.4</v>
      </c>
      <c r="H187" s="6"/>
      <c r="I187" s="9">
        <f t="shared" si="155"/>
        <v>2842.4</v>
      </c>
      <c r="J187" s="33"/>
      <c r="K187" s="33">
        <f>SUM(L187:N187)</f>
        <v>2842.4</v>
      </c>
      <c r="L187" s="33"/>
      <c r="M187" s="39">
        <v>2842.4</v>
      </c>
      <c r="N187" s="6"/>
      <c r="O187" s="6">
        <f t="shared" si="153"/>
        <v>2621</v>
      </c>
      <c r="P187" s="33"/>
      <c r="Q187" s="33">
        <v>2621</v>
      </c>
      <c r="R187" s="33"/>
      <c r="S187" s="33">
        <f t="shared" si="154"/>
        <v>2621</v>
      </c>
      <c r="T187" s="33"/>
      <c r="U187" s="39">
        <f>Q187</f>
        <v>2621</v>
      </c>
      <c r="V187" s="6"/>
      <c r="W187" s="20">
        <f t="shared" si="139"/>
        <v>92.210807768083313</v>
      </c>
      <c r="X187" s="44"/>
      <c r="Y187" s="46"/>
      <c r="Z187" s="46"/>
    </row>
    <row r="188" spans="1:29" ht="58.5" customHeight="1" x14ac:dyDescent="0.2">
      <c r="A188" s="112" t="s">
        <v>36</v>
      </c>
      <c r="B188" s="115" t="s">
        <v>276</v>
      </c>
      <c r="C188" s="29" t="s">
        <v>214</v>
      </c>
      <c r="D188" s="29"/>
      <c r="E188" s="29"/>
      <c r="F188" s="29"/>
      <c r="G188" s="9">
        <f t="shared" si="157"/>
        <v>11966.5</v>
      </c>
      <c r="H188" s="6">
        <f>SUM(H189:H190)</f>
        <v>0</v>
      </c>
      <c r="I188" s="9">
        <f t="shared" ref="I188:J188" si="166">SUM(I189:I190)</f>
        <v>11966.5</v>
      </c>
      <c r="J188" s="6">
        <f t="shared" si="166"/>
        <v>0</v>
      </c>
      <c r="K188" s="6">
        <f t="shared" si="156"/>
        <v>11966.5</v>
      </c>
      <c r="L188" s="6">
        <f t="shared" ref="L188:N188" si="167">SUM(L189:L190)</f>
        <v>0</v>
      </c>
      <c r="M188" s="39">
        <f t="shared" si="167"/>
        <v>11966.5</v>
      </c>
      <c r="N188" s="33">
        <f t="shared" si="167"/>
        <v>0</v>
      </c>
      <c r="O188" s="33">
        <f t="shared" si="153"/>
        <v>11453.5</v>
      </c>
      <c r="P188" s="33">
        <f t="shared" ref="P188:R188" si="168">SUM(P189:P190)</f>
        <v>0</v>
      </c>
      <c r="Q188" s="33">
        <f t="shared" si="168"/>
        <v>11453.5</v>
      </c>
      <c r="R188" s="33">
        <f t="shared" si="168"/>
        <v>0</v>
      </c>
      <c r="S188" s="33">
        <f t="shared" si="154"/>
        <v>11453.5</v>
      </c>
      <c r="T188" s="33">
        <f t="shared" ref="T188:V188" si="169">SUM(T189:T190)</f>
        <v>0</v>
      </c>
      <c r="U188" s="39">
        <f t="shared" si="169"/>
        <v>11453.5</v>
      </c>
      <c r="V188" s="33">
        <f t="shared" si="169"/>
        <v>0</v>
      </c>
      <c r="W188" s="20">
        <f t="shared" si="139"/>
        <v>95.713032214933349</v>
      </c>
      <c r="X188" s="44"/>
      <c r="Y188" s="46"/>
      <c r="Z188" s="46"/>
    </row>
    <row r="189" spans="1:29" ht="58.5" customHeight="1" x14ac:dyDescent="0.2">
      <c r="A189" s="113"/>
      <c r="B189" s="116"/>
      <c r="C189" s="29" t="s">
        <v>214</v>
      </c>
      <c r="D189" s="29"/>
      <c r="E189" s="29"/>
      <c r="F189" s="29" t="s">
        <v>74</v>
      </c>
      <c r="G189" s="9">
        <f t="shared" si="157"/>
        <v>9892.7000000000007</v>
      </c>
      <c r="H189" s="6">
        <v>0</v>
      </c>
      <c r="I189" s="9">
        <f t="shared" ref="I189" si="170">M189</f>
        <v>9892.7000000000007</v>
      </c>
      <c r="J189" s="6">
        <v>0</v>
      </c>
      <c r="K189" s="6">
        <f t="shared" ref="K189" si="171">SUM(L189:N189)</f>
        <v>9892.7000000000007</v>
      </c>
      <c r="L189" s="6"/>
      <c r="M189" s="39">
        <v>9892.7000000000007</v>
      </c>
      <c r="N189" s="33"/>
      <c r="O189" s="33">
        <f t="shared" ref="O189" si="172">SUM(P189:R189)</f>
        <v>9582.5</v>
      </c>
      <c r="P189" s="33"/>
      <c r="Q189" s="33">
        <f>9582.5</f>
        <v>9582.5</v>
      </c>
      <c r="R189" s="33"/>
      <c r="S189" s="33">
        <f t="shared" ref="S189" si="173">SUM(T189:V189)</f>
        <v>9582.5</v>
      </c>
      <c r="T189" s="33"/>
      <c r="U189" s="39">
        <f>Q189</f>
        <v>9582.5</v>
      </c>
      <c r="V189" s="33"/>
      <c r="W189" s="20">
        <f t="shared" si="139"/>
        <v>96.86435452404298</v>
      </c>
      <c r="X189" s="44"/>
      <c r="Y189" s="46"/>
      <c r="Z189" s="46"/>
    </row>
    <row r="190" spans="1:29" ht="58.5" customHeight="1" x14ac:dyDescent="0.2">
      <c r="A190" s="114"/>
      <c r="B190" s="117"/>
      <c r="C190" s="29" t="s">
        <v>214</v>
      </c>
      <c r="D190" s="29"/>
      <c r="E190" s="29"/>
      <c r="F190" s="29" t="s">
        <v>64</v>
      </c>
      <c r="G190" s="9">
        <f t="shared" si="157"/>
        <v>2073.8000000000002</v>
      </c>
      <c r="H190" s="6">
        <v>0</v>
      </c>
      <c r="I190" s="9">
        <f t="shared" si="155"/>
        <v>2073.8000000000002</v>
      </c>
      <c r="J190" s="6">
        <v>0</v>
      </c>
      <c r="K190" s="6">
        <f t="shared" si="156"/>
        <v>2073.8000000000002</v>
      </c>
      <c r="L190" s="6"/>
      <c r="M190" s="39">
        <v>2073.8000000000002</v>
      </c>
      <c r="N190" s="33"/>
      <c r="O190" s="33">
        <f t="shared" si="153"/>
        <v>1871</v>
      </c>
      <c r="P190" s="33"/>
      <c r="Q190" s="33">
        <f>1870.9+0.1</f>
        <v>1871</v>
      </c>
      <c r="R190" s="33"/>
      <c r="S190" s="33">
        <f t="shared" si="154"/>
        <v>1871</v>
      </c>
      <c r="T190" s="33"/>
      <c r="U190" s="39">
        <f>Q190</f>
        <v>1871</v>
      </c>
      <c r="V190" s="33"/>
      <c r="W190" s="20">
        <f t="shared" si="139"/>
        <v>90.220850612402344</v>
      </c>
      <c r="X190" s="44"/>
      <c r="Y190" s="46"/>
      <c r="Z190" s="46"/>
    </row>
    <row r="191" spans="1:29" ht="132" customHeight="1" x14ac:dyDescent="0.2">
      <c r="A191" s="24" t="s">
        <v>37</v>
      </c>
      <c r="B191" s="26" t="s">
        <v>277</v>
      </c>
      <c r="C191" s="29" t="s">
        <v>215</v>
      </c>
      <c r="D191" s="29"/>
      <c r="E191" s="29"/>
      <c r="F191" s="29" t="s">
        <v>54</v>
      </c>
      <c r="G191" s="9">
        <f t="shared" si="157"/>
        <v>1305.5999999999999</v>
      </c>
      <c r="H191" s="6">
        <v>0</v>
      </c>
      <c r="I191" s="9">
        <f t="shared" si="155"/>
        <v>1305.5999999999999</v>
      </c>
      <c r="J191" s="6">
        <v>0</v>
      </c>
      <c r="K191" s="6">
        <f t="shared" si="156"/>
        <v>1305.5999999999999</v>
      </c>
      <c r="L191" s="6"/>
      <c r="M191" s="39">
        <f>1152+153.6</f>
        <v>1305.5999999999999</v>
      </c>
      <c r="N191" s="6"/>
      <c r="O191" s="6">
        <f t="shared" si="153"/>
        <v>1172.3</v>
      </c>
      <c r="P191" s="33"/>
      <c r="Q191" s="33">
        <f>1172.3</f>
        <v>1172.3</v>
      </c>
      <c r="R191" s="33"/>
      <c r="S191" s="33">
        <f t="shared" si="154"/>
        <v>1172.3</v>
      </c>
      <c r="T191" s="33"/>
      <c r="U191" s="33">
        <f>Q191</f>
        <v>1172.3</v>
      </c>
      <c r="V191" s="6"/>
      <c r="W191" s="20">
        <f t="shared" si="139"/>
        <v>89.790134803921575</v>
      </c>
      <c r="X191" s="44"/>
      <c r="Y191" s="46"/>
      <c r="Z191" s="46"/>
    </row>
    <row r="192" spans="1:29" x14ac:dyDescent="0.2">
      <c r="A192" s="21"/>
      <c r="B192" s="21"/>
      <c r="C192" s="21"/>
      <c r="D192" s="21"/>
      <c r="E192" s="21"/>
      <c r="F192" s="21"/>
      <c r="X192" s="42"/>
      <c r="Y192" s="3"/>
    </row>
    <row r="193" spans="3:25" x14ac:dyDescent="0.2">
      <c r="C193" s="21"/>
      <c r="D193" s="21"/>
      <c r="E193" s="21"/>
      <c r="F193" s="21"/>
      <c r="Y193" s="3"/>
    </row>
    <row r="194" spans="3:25" x14ac:dyDescent="0.2">
      <c r="C194" s="21"/>
      <c r="D194" s="21"/>
      <c r="E194" s="21"/>
      <c r="F194" s="21"/>
      <c r="G194" s="3"/>
      <c r="H194" s="3"/>
      <c r="I194" s="3"/>
      <c r="J194" s="3"/>
      <c r="K194" s="3"/>
      <c r="L194" s="3"/>
      <c r="M194" s="93"/>
      <c r="N194" s="3"/>
      <c r="O194" s="3"/>
      <c r="P194" s="93"/>
      <c r="Q194" s="93"/>
      <c r="R194" s="3"/>
      <c r="S194" s="3"/>
      <c r="T194" s="93"/>
      <c r="U194" s="93"/>
      <c r="V194" s="3"/>
      <c r="Y194" s="3"/>
    </row>
    <row r="195" spans="3:25" x14ac:dyDescent="0.2">
      <c r="G195" s="3"/>
      <c r="K195" s="64"/>
      <c r="L195" s="64"/>
      <c r="M195" s="94"/>
      <c r="O195" s="105"/>
      <c r="S195" s="64"/>
      <c r="Y195" s="3"/>
    </row>
    <row r="196" spans="3:25" x14ac:dyDescent="0.2">
      <c r="G196" s="45"/>
      <c r="K196" s="3"/>
      <c r="S196" s="45"/>
      <c r="Y196" s="3"/>
    </row>
    <row r="197" spans="3:25" x14ac:dyDescent="0.2">
      <c r="K197" s="109"/>
      <c r="L197" s="109"/>
      <c r="M197" s="109"/>
      <c r="N197" s="109"/>
      <c r="O197" s="109"/>
      <c r="P197" s="111"/>
      <c r="Q197" s="109"/>
      <c r="R197" s="109"/>
      <c r="S197" s="111"/>
      <c r="T197" s="109"/>
      <c r="U197" s="111"/>
      <c r="V197" s="109"/>
      <c r="Y197" s="3"/>
    </row>
    <row r="198" spans="3:25" x14ac:dyDescent="0.2">
      <c r="G198" s="64"/>
      <c r="K198" s="110"/>
      <c r="O198" s="110"/>
      <c r="S198" s="43"/>
      <c r="U198" s="93"/>
      <c r="Y198" s="3"/>
    </row>
    <row r="199" spans="3:25" x14ac:dyDescent="0.2">
      <c r="K199" s="3"/>
      <c r="O199" s="110"/>
      <c r="S199" s="45"/>
      <c r="U199" s="93"/>
      <c r="Y199" s="3"/>
    </row>
    <row r="200" spans="3:25" x14ac:dyDescent="0.2">
      <c r="Y200" s="3"/>
    </row>
    <row r="201" spans="3:25" x14ac:dyDescent="0.2">
      <c r="Y201" s="3"/>
    </row>
    <row r="202" spans="3:25" x14ac:dyDescent="0.2">
      <c r="Y202" s="3"/>
    </row>
    <row r="203" spans="3:25" x14ac:dyDescent="0.2">
      <c r="S203" s="3"/>
      <c r="T203" s="93"/>
      <c r="U203" s="93"/>
      <c r="Y203" s="3"/>
    </row>
    <row r="204" spans="3:25" x14ac:dyDescent="0.2">
      <c r="G204" s="3"/>
    </row>
    <row r="205" spans="3:25" x14ac:dyDescent="0.2">
      <c r="S205" s="38"/>
      <c r="T205" s="95"/>
    </row>
    <row r="206" spans="3:25" x14ac:dyDescent="0.2">
      <c r="L206" s="3"/>
      <c r="M206" s="93"/>
      <c r="N206" s="3"/>
      <c r="O206" s="3"/>
      <c r="P206" s="93"/>
      <c r="Q206" s="93"/>
      <c r="R206" s="3"/>
      <c r="S206" s="3"/>
      <c r="T206" s="93"/>
      <c r="U206" s="93"/>
      <c r="V206" s="3"/>
    </row>
    <row r="207" spans="3:25" x14ac:dyDescent="0.2">
      <c r="S207" s="38"/>
    </row>
  </sheetData>
  <autoFilter ref="A7:AC100"/>
  <mergeCells count="59">
    <mergeCell ref="W2:X2"/>
    <mergeCell ref="F3:G3"/>
    <mergeCell ref="L5:N5"/>
    <mergeCell ref="H5:J5"/>
    <mergeCell ref="G4:G6"/>
    <mergeCell ref="A9:B9"/>
    <mergeCell ref="K5:K6"/>
    <mergeCell ref="S5:S6"/>
    <mergeCell ref="K4:N4"/>
    <mergeCell ref="A4:A6"/>
    <mergeCell ref="A1:V1"/>
    <mergeCell ref="C4:E4"/>
    <mergeCell ref="A2:V2"/>
    <mergeCell ref="T5:U5"/>
    <mergeCell ref="O5:O6"/>
    <mergeCell ref="O4:R4"/>
    <mergeCell ref="D5:D6"/>
    <mergeCell ref="S4:V4"/>
    <mergeCell ref="E5:E6"/>
    <mergeCell ref="P5:Q5"/>
    <mergeCell ref="B4:B6"/>
    <mergeCell ref="F4:F6"/>
    <mergeCell ref="C5:C6"/>
    <mergeCell ref="A151:B151"/>
    <mergeCell ref="A162:A169"/>
    <mergeCell ref="A175:A179"/>
    <mergeCell ref="A160:B160"/>
    <mergeCell ref="B162:B169"/>
    <mergeCell ref="B170:B174"/>
    <mergeCell ref="B175:B179"/>
    <mergeCell ref="A170:A174"/>
    <mergeCell ref="A146:B146"/>
    <mergeCell ref="A135:A139"/>
    <mergeCell ref="B93:B95"/>
    <mergeCell ref="B120:B121"/>
    <mergeCell ref="A115:A118"/>
    <mergeCell ref="B115:B118"/>
    <mergeCell ref="A131:B131"/>
    <mergeCell ref="A120:A121"/>
    <mergeCell ref="B108:B113"/>
    <mergeCell ref="A129:A130"/>
    <mergeCell ref="A108:A113"/>
    <mergeCell ref="B129:B130"/>
    <mergeCell ref="A188:A190"/>
    <mergeCell ref="B188:B190"/>
    <mergeCell ref="B185:B187"/>
    <mergeCell ref="A185:A187"/>
    <mergeCell ref="A12:A16"/>
    <mergeCell ref="A79:B79"/>
    <mergeCell ref="B53:B54"/>
    <mergeCell ref="A53:A54"/>
    <mergeCell ref="B36:B38"/>
    <mergeCell ref="B12:B16"/>
    <mergeCell ref="A36:A38"/>
    <mergeCell ref="B31:B33"/>
    <mergeCell ref="A31:A33"/>
    <mergeCell ref="A93:A95"/>
    <mergeCell ref="A106:B106"/>
    <mergeCell ref="B135:B139"/>
  </mergeCells>
  <phoneticPr fontId="0" type="noConversion"/>
  <pageMargins left="0" right="0" top="0.19685039370078741" bottom="0" header="0.51181102362204722" footer="0.51181102362204722"/>
  <pageSetup paperSize="9" scale="45" fitToHeight="22" orientation="landscape" r:id="rId1"/>
  <headerFooter alignWithMargins="0"/>
  <rowBreaks count="1" manualBreakCount="1">
    <brk id="15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Макеева Любовь Михайловна</cp:lastModifiedBy>
  <cp:lastPrinted>2021-03-24T05:07:20Z</cp:lastPrinted>
  <dcterms:created xsi:type="dcterms:W3CDTF">1996-10-08T23:32:33Z</dcterms:created>
  <dcterms:modified xsi:type="dcterms:W3CDTF">2021-05-19T03:33:52Z</dcterms:modified>
</cp:coreProperties>
</file>