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E1D62D5A-47D0-42B9-BB30-84450CBDA3C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здел 1" sheetId="33" r:id="rId1"/>
    <sheet name="раздел 2" sheetId="43" r:id="rId2"/>
    <sheet name="раздел 3" sheetId="45" r:id="rId3"/>
    <sheet name="раздел 4" sheetId="56" r:id="rId4"/>
    <sheet name="раздел 5" sheetId="36" r:id="rId5"/>
  </sheets>
  <externalReferences>
    <externalReference r:id="rId6"/>
  </externalReferences>
  <definedNames>
    <definedName name="_xlnm.Print_Titles" localSheetId="1">'раздел 2'!$A:$C</definedName>
    <definedName name="_xlnm.Print_Titles" localSheetId="2">'раздел 3'!$4:$5</definedName>
    <definedName name="_xlnm.Print_Titles" localSheetId="4">'раздел 5'!$A:$C,'раздел 5'!$6:$6</definedName>
    <definedName name="_xlnm.Print_Area" localSheetId="1">'раздел 2'!$A$1:$EQ$48</definedName>
    <definedName name="_xlnm.Print_Area" localSheetId="2">'раздел 3'!$A$1:$J$123</definedName>
    <definedName name="_xlnm.Print_Area" localSheetId="3">'раздел 4'!$A$1:$O$11</definedName>
    <definedName name="_xlnm.Print_Area" localSheetId="4">'раздел 5'!$A$1:$DS$27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V19" i="36" l="1"/>
  <c r="DU19" i="36"/>
  <c r="DV22" i="36"/>
  <c r="DU22" i="36"/>
  <c r="DV24" i="36"/>
  <c r="DU24" i="36"/>
  <c r="DV23" i="36"/>
  <c r="DU23" i="36"/>
  <c r="DV25" i="36"/>
  <c r="DU25" i="36"/>
  <c r="DV27" i="36"/>
  <c r="DU27" i="36"/>
  <c r="DV26" i="36"/>
  <c r="DU26" i="36"/>
  <c r="DV21" i="36"/>
  <c r="DU21" i="36"/>
  <c r="DV20" i="36"/>
  <c r="DU20" i="36"/>
  <c r="DV11" i="36"/>
  <c r="DU11" i="36"/>
  <c r="DV13" i="36"/>
  <c r="DU13" i="36"/>
  <c r="DV12" i="36"/>
  <c r="DU12" i="36"/>
  <c r="DV10" i="36"/>
  <c r="DU10" i="36"/>
  <c r="DV9" i="36"/>
  <c r="DU9" i="36"/>
  <c r="DU8" i="36" s="1"/>
  <c r="BR21" i="36"/>
  <c r="BR20" i="36"/>
  <c r="BR27" i="36"/>
  <c r="BR26" i="36"/>
  <c r="BR25" i="36"/>
  <c r="BR17" i="36"/>
  <c r="BR16" i="36"/>
  <c r="BR15" i="36"/>
  <c r="BR13" i="36"/>
  <c r="BR12" i="36"/>
  <c r="BR11" i="36"/>
  <c r="BR10" i="36"/>
  <c r="BR9" i="36"/>
  <c r="BR8" i="36"/>
  <c r="DV8" i="36" l="1"/>
  <c r="CL16" i="36"/>
  <c r="CL15" i="36"/>
  <c r="DA8" i="36"/>
  <c r="DA11" i="36"/>
  <c r="DE19" i="36" l="1"/>
  <c r="DF15" i="36"/>
  <c r="DE25" i="36"/>
  <c r="DE27" i="36"/>
  <c r="CK27" i="36"/>
  <c r="BQ26" i="36"/>
  <c r="BQ25" i="36"/>
  <c r="BQ27" i="36"/>
  <c r="I22" i="36"/>
  <c r="AW26" i="36" l="1"/>
  <c r="AX26" i="36" s="1"/>
  <c r="AW25" i="36"/>
  <c r="AW27" i="36"/>
  <c r="AX27" i="36" s="1"/>
  <c r="AC24" i="36"/>
  <c r="AD24" i="36" s="1"/>
  <c r="I24" i="36"/>
  <c r="J24" i="36" s="1"/>
  <c r="AX21" i="36"/>
  <c r="AX20" i="36"/>
  <c r="AX19" i="36"/>
  <c r="AX17" i="36"/>
  <c r="AX16" i="36"/>
  <c r="AX15" i="36"/>
  <c r="AX13" i="36"/>
  <c r="AX12" i="36"/>
  <c r="AX11" i="36"/>
  <c r="AX10" i="36"/>
  <c r="AX9" i="36"/>
  <c r="AX8" i="36"/>
  <c r="AD23" i="36"/>
  <c r="AD21" i="36"/>
  <c r="AD20" i="36"/>
  <c r="AD17" i="36"/>
  <c r="AD16" i="36"/>
  <c r="AD13" i="36"/>
  <c r="AD12" i="36"/>
  <c r="AD10" i="36"/>
  <c r="AD9" i="36"/>
  <c r="J23" i="36"/>
  <c r="J21" i="36"/>
  <c r="J20" i="36"/>
  <c r="J19" i="36"/>
  <c r="J17" i="36"/>
  <c r="J16" i="36"/>
  <c r="J15" i="36"/>
  <c r="J13" i="36"/>
  <c r="J12" i="36"/>
  <c r="J11" i="36"/>
  <c r="J10" i="36"/>
  <c r="J9" i="36"/>
  <c r="J8" i="36"/>
  <c r="AC22" i="36" l="1"/>
  <c r="AD22" i="36" s="1"/>
  <c r="AB22" i="36"/>
  <c r="H22" i="36"/>
  <c r="H19" i="36" s="1"/>
  <c r="CG15" i="36"/>
  <c r="CF15" i="36"/>
  <c r="BQ15" i="36"/>
  <c r="BP15" i="36"/>
  <c r="AW15" i="36"/>
  <c r="AV15" i="36"/>
  <c r="AC15" i="36"/>
  <c r="AD15" i="36" s="1"/>
  <c r="AB15" i="36"/>
  <c r="I15" i="36"/>
  <c r="H15" i="36"/>
  <c r="BP25" i="36"/>
  <c r="AX25" i="36"/>
  <c r="AV25" i="36"/>
  <c r="BQ19" i="36"/>
  <c r="BR19" i="36" s="1"/>
  <c r="BP19" i="36"/>
  <c r="AW19" i="36"/>
  <c r="AV19" i="36"/>
  <c r="AC19" i="36"/>
  <c r="AD19" i="36" s="1"/>
  <c r="AB19" i="36"/>
  <c r="BQ11" i="36"/>
  <c r="BP11" i="36"/>
  <c r="AW11" i="36"/>
  <c r="AV11" i="36"/>
  <c r="AC11" i="36"/>
  <c r="AD11" i="36" s="1"/>
  <c r="AB11" i="36"/>
  <c r="I11" i="36"/>
  <c r="H11" i="36"/>
  <c r="CG11" i="36"/>
  <c r="BQ8" i="36"/>
  <c r="BP8" i="36"/>
  <c r="AW8" i="36"/>
  <c r="AV8" i="36"/>
  <c r="AC8" i="36"/>
  <c r="AD8" i="36" s="1"/>
  <c r="AB8" i="36"/>
  <c r="I8" i="36"/>
  <c r="H8" i="36"/>
  <c r="CZ19" i="36"/>
  <c r="CZ25" i="36"/>
  <c r="CJ17" i="36"/>
  <c r="I19" i="36" l="1"/>
  <c r="J22" i="36"/>
  <c r="CK15" i="36"/>
  <c r="CK11" i="36"/>
  <c r="CK8" i="36"/>
  <c r="CH27" i="36"/>
  <c r="CG27" i="36"/>
  <c r="CG8" i="36"/>
  <c r="Y8" i="36"/>
  <c r="Y11" i="36"/>
  <c r="H101" i="45" l="1"/>
  <c r="E101" i="45"/>
  <c r="E85" i="45"/>
  <c r="H85" i="45"/>
  <c r="I100" i="45"/>
  <c r="I99" i="45"/>
  <c r="I98" i="45"/>
  <c r="I96" i="45"/>
  <c r="I93" i="45"/>
  <c r="I92" i="45"/>
  <c r="H94" i="45"/>
  <c r="E94" i="45"/>
  <c r="I76" i="45"/>
  <c r="I75" i="45"/>
  <c r="I73" i="45"/>
  <c r="H77" i="45"/>
  <c r="E77" i="45"/>
  <c r="G88" i="45"/>
  <c r="G87" i="45"/>
  <c r="G86" i="45"/>
  <c r="H106" i="45" l="1"/>
  <c r="I101" i="45"/>
  <c r="E106" i="45"/>
  <c r="I94" i="45"/>
  <c r="I77" i="45"/>
  <c r="E89" i="45"/>
  <c r="H89" i="45"/>
  <c r="E66" i="45"/>
  <c r="H66" i="45"/>
  <c r="I62" i="45"/>
  <c r="I63" i="45"/>
  <c r="I65" i="45"/>
  <c r="G43" i="45"/>
  <c r="E39" i="45"/>
  <c r="E34" i="45"/>
  <c r="H60" i="45"/>
  <c r="E60" i="45"/>
  <c r="I59" i="45"/>
  <c r="I58" i="45"/>
  <c r="I57" i="45"/>
  <c r="I56" i="45"/>
  <c r="I55" i="45"/>
  <c r="I53" i="45"/>
  <c r="H47" i="45"/>
  <c r="E47" i="45"/>
  <c r="I49" i="45"/>
  <c r="I46" i="45"/>
  <c r="H34" i="45"/>
  <c r="I33" i="45"/>
  <c r="I34" i="45" s="1"/>
  <c r="E43" i="45" l="1"/>
  <c r="I66" i="45"/>
  <c r="I60" i="45"/>
  <c r="I47" i="45"/>
  <c r="I9" i="45"/>
  <c r="I10" i="45"/>
  <c r="I11" i="45"/>
  <c r="I12" i="45"/>
  <c r="I13" i="45"/>
  <c r="I8" i="45"/>
  <c r="H14" i="45"/>
  <c r="E14" i="45"/>
  <c r="I14" i="45" l="1"/>
  <c r="H39" i="45" l="1"/>
  <c r="H43" i="45" s="1"/>
  <c r="I18" i="45"/>
  <c r="I17" i="45"/>
  <c r="I16" i="45"/>
  <c r="E26" i="45"/>
  <c r="E30" i="45" s="1"/>
  <c r="I38" i="45"/>
  <c r="I36" i="45"/>
  <c r="I39" i="45" l="1"/>
  <c r="I43" i="45" s="1"/>
  <c r="I19" i="45" l="1"/>
  <c r="I20" i="45"/>
  <c r="I21" i="45"/>
  <c r="I22" i="45"/>
  <c r="I23" i="45"/>
  <c r="I25" i="45"/>
  <c r="H26" i="45"/>
  <c r="H30" i="45" s="1"/>
  <c r="I26" i="45" l="1"/>
  <c r="I30" i="45" s="1"/>
  <c r="E12" i="36" l="1"/>
  <c r="E11" i="36" s="1"/>
  <c r="E9" i="36"/>
  <c r="E8" i="36" s="1"/>
  <c r="D22" i="36" l="1"/>
  <c r="D19" i="36" l="1"/>
  <c r="F19" i="36" s="1"/>
  <c r="F17" i="36"/>
  <c r="D15" i="36"/>
  <c r="F12" i="36"/>
  <c r="F10" i="36"/>
  <c r="F9" i="36"/>
  <c r="D8" i="36"/>
  <c r="F8" i="36" s="1"/>
  <c r="H50" i="45" l="1"/>
  <c r="S36" i="43" l="1"/>
  <c r="R35" i="43"/>
  <c r="R34" i="43" s="1"/>
  <c r="Q35" i="43"/>
  <c r="P34" i="43"/>
  <c r="S33" i="43"/>
  <c r="R32" i="43"/>
  <c r="R31" i="43" s="1"/>
  <c r="Q32" i="43"/>
  <c r="P31" i="43"/>
  <c r="S27" i="43"/>
  <c r="R26" i="43"/>
  <c r="R25" i="43" s="1"/>
  <c r="R24" i="43" s="1"/>
  <c r="Q26" i="43"/>
  <c r="S26" i="43" s="1"/>
  <c r="P25" i="43"/>
  <c r="P24" i="43" s="1"/>
  <c r="P23" i="43" s="1"/>
  <c r="S20" i="43"/>
  <c r="S19" i="43"/>
  <c r="R18" i="43"/>
  <c r="R21" i="43" s="1"/>
  <c r="Q18" i="43"/>
  <c r="Q21" i="43" s="1"/>
  <c r="P18" i="43"/>
  <c r="S16" i="43"/>
  <c r="R14" i="43"/>
  <c r="R15" i="43" s="1"/>
  <c r="Q14" i="43"/>
  <c r="Q15" i="43" s="1"/>
  <c r="P14" i="43"/>
  <c r="P13" i="43"/>
  <c r="R12" i="43"/>
  <c r="Q12" i="43"/>
  <c r="R11" i="43"/>
  <c r="Q11" i="43"/>
  <c r="Q7" i="43"/>
  <c r="R7" i="43" s="1"/>
  <c r="S7" i="43" s="1"/>
  <c r="P17" i="43" l="1"/>
  <c r="P22" i="43" s="1"/>
  <c r="S15" i="43"/>
  <c r="S35" i="43"/>
  <c r="S34" i="43" s="1"/>
  <c r="S32" i="43"/>
  <c r="S31" i="43" s="1"/>
  <c r="R13" i="43"/>
  <c r="R17" i="43" s="1"/>
  <c r="Q13" i="43"/>
  <c r="Q17" i="43" s="1"/>
  <c r="Q22" i="43" s="1"/>
  <c r="S21" i="43"/>
  <c r="R22" i="43"/>
  <c r="Q25" i="43"/>
  <c r="Q24" i="43" s="1"/>
  <c r="S12" i="43"/>
  <c r="Q34" i="43"/>
  <c r="S11" i="43"/>
  <c r="S25" i="43"/>
  <c r="S24" i="43" s="1"/>
  <c r="R23" i="43"/>
  <c r="S14" i="43"/>
  <c r="S18" i="43"/>
  <c r="Q31" i="43"/>
  <c r="S23" i="43" l="1"/>
  <c r="Q23" i="43"/>
  <c r="S13" i="43"/>
  <c r="S17" i="43" s="1"/>
  <c r="S22" i="43" s="1"/>
  <c r="CK19" i="36" l="1"/>
  <c r="CK25" i="36" l="1"/>
  <c r="V27" i="43" l="1"/>
  <c r="V20" i="43" l="1"/>
  <c r="V35" i="43" l="1"/>
  <c r="U35" i="43"/>
  <c r="V32" i="43"/>
  <c r="U32" i="43"/>
  <c r="V26" i="43"/>
  <c r="U26" i="43"/>
  <c r="V21" i="43"/>
  <c r="U21" i="43"/>
  <c r="V18" i="43" l="1"/>
  <c r="U18" i="43"/>
  <c r="V14" i="43"/>
  <c r="U14" i="43"/>
  <c r="T14" i="43"/>
  <c r="E70" i="45" l="1"/>
  <c r="E105" i="45"/>
  <c r="H70" i="45" l="1"/>
  <c r="I105" i="45" l="1"/>
  <c r="H105" i="45"/>
  <c r="I70" i="45"/>
  <c r="I79" i="45"/>
  <c r="I85" i="45" s="1"/>
  <c r="E50" i="45" l="1"/>
  <c r="I50" i="45" s="1"/>
  <c r="I89" i="45" l="1"/>
  <c r="I106" i="45"/>
  <c r="DF26" i="36"/>
  <c r="DD25" i="36"/>
  <c r="DD19" i="36"/>
  <c r="DF19" i="36" s="1"/>
  <c r="DF17" i="36"/>
  <c r="DD16" i="36"/>
  <c r="DF16" i="36" s="1"/>
  <c r="DD12" i="36"/>
  <c r="DF12" i="36" s="1"/>
  <c r="DD11" i="36"/>
  <c r="DF11" i="36" s="1"/>
  <c r="DF10" i="36"/>
  <c r="DD9" i="36"/>
  <c r="DF9" i="36" s="1"/>
  <c r="DF8" i="36"/>
  <c r="CL27" i="36"/>
  <c r="CL26" i="36"/>
  <c r="CL21" i="36"/>
  <c r="CL20" i="36"/>
  <c r="CL12" i="36"/>
  <c r="CL10" i="36"/>
  <c r="CL9" i="36"/>
  <c r="CF25" i="36"/>
  <c r="CH21" i="36"/>
  <c r="CH20" i="36"/>
  <c r="CG19" i="36"/>
  <c r="CF19" i="36"/>
  <c r="CF11" i="36"/>
  <c r="CH11" i="36" s="1"/>
  <c r="CH12" i="36"/>
  <c r="CH10" i="36"/>
  <c r="CH9" i="36"/>
  <c r="CF8" i="36"/>
  <c r="CH8" i="36" s="1"/>
  <c r="CH19" i="36" l="1"/>
  <c r="CG25" i="36"/>
  <c r="CH25" i="36" s="1"/>
  <c r="AK29" i="36"/>
  <c r="DF27" i="36"/>
  <c r="DF25" i="36"/>
  <c r="DF20" i="36"/>
  <c r="DF21" i="36"/>
  <c r="CH26" i="36"/>
  <c r="CH13" i="36"/>
  <c r="L13" i="43" l="1"/>
  <c r="L14" i="43"/>
  <c r="L17" i="43" l="1"/>
  <c r="DA19" i="36" l="1"/>
  <c r="CZ8" i="36"/>
  <c r="CZ12" i="36"/>
  <c r="CZ15" i="36"/>
  <c r="CZ11" i="36" l="1"/>
  <c r="D11" i="36" l="1"/>
  <c r="F11" i="36" s="1"/>
  <c r="K36" i="43"/>
  <c r="K35" i="43"/>
  <c r="J34" i="43"/>
  <c r="I34" i="43"/>
  <c r="K33" i="43"/>
  <c r="K32" i="43"/>
  <c r="J31" i="43"/>
  <c r="I31" i="43"/>
  <c r="K27" i="43"/>
  <c r="K26" i="43"/>
  <c r="J25" i="43"/>
  <c r="J24" i="43" s="1"/>
  <c r="J23" i="43" s="1"/>
  <c r="I25" i="43"/>
  <c r="I24" i="43" s="1"/>
  <c r="I23" i="43" s="1"/>
  <c r="J20" i="43"/>
  <c r="J21" i="43" s="1"/>
  <c r="J18" i="43" s="1"/>
  <c r="I20" i="43"/>
  <c r="I21" i="43" s="1"/>
  <c r="K19" i="43"/>
  <c r="K16" i="43"/>
  <c r="K15" i="43"/>
  <c r="J14" i="43"/>
  <c r="I14" i="43"/>
  <c r="J13" i="43"/>
  <c r="I13" i="43"/>
  <c r="K12" i="43"/>
  <c r="K11" i="43"/>
  <c r="K13" i="43" s="1"/>
  <c r="K14" i="43" l="1"/>
  <c r="K25" i="43"/>
  <c r="K24" i="43" s="1"/>
  <c r="K34" i="43"/>
  <c r="K17" i="43"/>
  <c r="I17" i="43"/>
  <c r="J17" i="43"/>
  <c r="J22" i="43" s="1"/>
  <c r="K31" i="43"/>
  <c r="K23" i="43" s="1"/>
  <c r="I18" i="43"/>
  <c r="K21" i="43"/>
  <c r="K20" i="43"/>
  <c r="K18" i="43" s="1"/>
  <c r="K22" i="43" s="1"/>
  <c r="I22" i="43" l="1"/>
  <c r="H35" i="43" l="1"/>
  <c r="H26" i="43"/>
  <c r="DA25" i="36" l="1"/>
  <c r="CJ8" i="36"/>
  <c r="CL8" i="36" s="1"/>
  <c r="CJ19" i="36"/>
  <c r="CL19" i="36" s="1"/>
  <c r="CL13" i="36" l="1"/>
  <c r="DD13" i="36"/>
  <c r="DF13" i="36" s="1"/>
  <c r="CJ15" i="36"/>
  <c r="CL17" i="36"/>
  <c r="CJ11" i="36"/>
  <c r="CL11" i="36" s="1"/>
  <c r="CJ25" i="36"/>
  <c r="CL25" i="36" s="1"/>
  <c r="DB16" i="36" l="1"/>
  <c r="DB10" i="36"/>
  <c r="DB9" i="36"/>
  <c r="Z16" i="36" l="1"/>
  <c r="DB26" i="36" l="1"/>
  <c r="Y22" i="36"/>
  <c r="Z23" i="36"/>
  <c r="X22" i="36"/>
  <c r="DB21" i="36"/>
  <c r="Z21" i="36"/>
  <c r="X19" i="36"/>
  <c r="Y17" i="36"/>
  <c r="Z17" i="36" s="1"/>
  <c r="X15" i="36"/>
  <c r="Z15" i="36" s="1"/>
  <c r="Z13" i="36"/>
  <c r="DB12" i="36"/>
  <c r="Z12" i="36"/>
  <c r="X11" i="36"/>
  <c r="Z11" i="36" s="1"/>
  <c r="Z10" i="36"/>
  <c r="Z9" i="36"/>
  <c r="DB8" i="36"/>
  <c r="X8" i="36"/>
  <c r="Z8" i="36" s="1"/>
  <c r="B6" i="36"/>
  <c r="C6" i="36" s="1"/>
  <c r="G11" i="43"/>
  <c r="G12" i="43"/>
  <c r="G15" i="43"/>
  <c r="G16" i="43"/>
  <c r="G19" i="43"/>
  <c r="G20" i="43"/>
  <c r="G21" i="43"/>
  <c r="E35" i="43"/>
  <c r="F35" i="43"/>
  <c r="G36" i="43"/>
  <c r="E32" i="43"/>
  <c r="E31" i="43" s="1"/>
  <c r="F32" i="43"/>
  <c r="G33" i="43"/>
  <c r="G26" i="43"/>
  <c r="G27" i="43"/>
  <c r="F25" i="43"/>
  <c r="F24" i="43" s="1"/>
  <c r="E25" i="43"/>
  <c r="E24" i="43" s="1"/>
  <c r="F13" i="43"/>
  <c r="F14" i="43"/>
  <c r="F18" i="43"/>
  <c r="E13" i="43"/>
  <c r="E14" i="43"/>
  <c r="E18" i="43"/>
  <c r="D18" i="43"/>
  <c r="D34" i="43"/>
  <c r="D31" i="43"/>
  <c r="D24" i="43"/>
  <c r="D14" i="43"/>
  <c r="I7" i="43"/>
  <c r="J7" i="43" s="1"/>
  <c r="K7" i="43" s="1"/>
  <c r="AB7" i="43" s="1"/>
  <c r="AC7" i="43" s="1"/>
  <c r="AD7" i="43" s="1"/>
  <c r="AE7" i="43" s="1"/>
  <c r="AF7" i="43" s="1"/>
  <c r="AG7" i="43" s="1"/>
  <c r="AH7" i="43" s="1"/>
  <c r="AI7" i="43" s="1"/>
  <c r="W36" i="43"/>
  <c r="W35" i="43"/>
  <c r="V34" i="43"/>
  <c r="U34" i="43"/>
  <c r="W33" i="43"/>
  <c r="W32" i="43"/>
  <c r="V31" i="43"/>
  <c r="V25" i="43"/>
  <c r="V24" i="43" s="1"/>
  <c r="U31" i="43"/>
  <c r="U25" i="43"/>
  <c r="U24" i="43" s="1"/>
  <c r="W27" i="43"/>
  <c r="W26" i="43"/>
  <c r="V13" i="43"/>
  <c r="V17" i="43" s="1"/>
  <c r="V22" i="43" s="1"/>
  <c r="W21" i="43"/>
  <c r="W20" i="43"/>
  <c r="W19" i="43"/>
  <c r="U13" i="43"/>
  <c r="U17" i="43" s="1"/>
  <c r="U22" i="43" s="1"/>
  <c r="W16" i="43"/>
  <c r="W15" i="43"/>
  <c r="W12" i="43"/>
  <c r="W11" i="43"/>
  <c r="U7" i="43"/>
  <c r="V7" i="43" s="1"/>
  <c r="O36" i="43"/>
  <c r="O35" i="43"/>
  <c r="N34" i="43"/>
  <c r="M34" i="43"/>
  <c r="O33" i="43"/>
  <c r="O32" i="43"/>
  <c r="N31" i="43"/>
  <c r="N25" i="43"/>
  <c r="N24" i="43" s="1"/>
  <c r="M31" i="43"/>
  <c r="M25" i="43"/>
  <c r="M24" i="43" s="1"/>
  <c r="O27" i="43"/>
  <c r="O26" i="43"/>
  <c r="N13" i="43"/>
  <c r="N17" i="43" s="1"/>
  <c r="N22" i="43" s="1"/>
  <c r="O21" i="43"/>
  <c r="O20" i="43"/>
  <c r="O19" i="43"/>
  <c r="M13" i="43"/>
  <c r="M17" i="43" s="1"/>
  <c r="M22" i="43" s="1"/>
  <c r="O16" i="43"/>
  <c r="O15" i="43"/>
  <c r="O12" i="43"/>
  <c r="O11" i="43"/>
  <c r="M7" i="43"/>
  <c r="N7" i="43" s="1"/>
  <c r="O7" i="43" s="1"/>
  <c r="H36" i="43"/>
  <c r="H34" i="43" s="1"/>
  <c r="H32" i="43"/>
  <c r="H33" i="43"/>
  <c r="H27" i="43"/>
  <c r="H11" i="43"/>
  <c r="H12" i="43"/>
  <c r="H15" i="43"/>
  <c r="H14" i="43" s="1"/>
  <c r="H19" i="43"/>
  <c r="H20" i="43"/>
  <c r="H21" i="43"/>
  <c r="D7" i="43"/>
  <c r="D13" i="43"/>
  <c r="E38" i="43"/>
  <c r="E39" i="43"/>
  <c r="F42" i="43"/>
  <c r="F43" i="43"/>
  <c r="F45" i="43"/>
  <c r="E46" i="43"/>
  <c r="E48" i="43"/>
  <c r="F48" i="43"/>
  <c r="G48" i="43"/>
  <c r="G14" i="43" l="1"/>
  <c r="D17" i="43"/>
  <c r="F21" i="36"/>
  <c r="N23" i="43"/>
  <c r="W18" i="43"/>
  <c r="W34" i="43"/>
  <c r="O34" i="43"/>
  <c r="W25" i="43"/>
  <c r="W24" i="43" s="1"/>
  <c r="M23" i="43"/>
  <c r="O13" i="43"/>
  <c r="O31" i="43"/>
  <c r="Z22" i="36"/>
  <c r="DB15" i="36"/>
  <c r="DB17" i="36"/>
  <c r="DB11" i="36"/>
  <c r="DB13" i="36"/>
  <c r="DB27" i="36"/>
  <c r="DB20" i="36"/>
  <c r="D22" i="43"/>
  <c r="H25" i="43"/>
  <c r="H24" i="43" s="1"/>
  <c r="W31" i="43"/>
  <c r="U23" i="43"/>
  <c r="W14" i="43"/>
  <c r="F46" i="43"/>
  <c r="O14" i="43"/>
  <c r="G18" i="43"/>
  <c r="F17" i="43"/>
  <c r="F22" i="43" s="1"/>
  <c r="T31" i="43"/>
  <c r="H31" i="43"/>
  <c r="G35" i="43"/>
  <c r="G34" i="43" s="1"/>
  <c r="E34" i="43"/>
  <c r="E23" i="43" s="1"/>
  <c r="G32" i="43"/>
  <c r="G31" i="43" s="1"/>
  <c r="G13" i="43"/>
  <c r="G17" i="43" s="1"/>
  <c r="O18" i="43"/>
  <c r="F34" i="43"/>
  <c r="W13" i="43"/>
  <c r="Z24" i="36"/>
  <c r="DB19" i="36"/>
  <c r="AJ7" i="43"/>
  <c r="AK7" i="43" s="1"/>
  <c r="AL7" i="43" s="1"/>
  <c r="AM7" i="43" s="1"/>
  <c r="AZ7" i="43"/>
  <c r="BA7" i="43" s="1"/>
  <c r="BB7" i="43" s="1"/>
  <c r="BC7" i="43" s="1"/>
  <c r="BD7" i="43" s="1"/>
  <c r="BE7" i="43" s="1"/>
  <c r="BF7" i="43" s="1"/>
  <c r="BG7" i="43" s="1"/>
  <c r="H18" i="43"/>
  <c r="T13" i="43"/>
  <c r="H13" i="43"/>
  <c r="H17" i="43" s="1"/>
  <c r="G25" i="43"/>
  <c r="G24" i="43" s="1"/>
  <c r="D23" i="43"/>
  <c r="F31" i="43"/>
  <c r="T25" i="43"/>
  <c r="O25" i="43"/>
  <c r="O24" i="43" s="1"/>
  <c r="Z20" i="36"/>
  <c r="Y19" i="36"/>
  <c r="Z19" i="36" s="1"/>
  <c r="V23" i="43"/>
  <c r="E17" i="43"/>
  <c r="E24" i="36" l="1"/>
  <c r="F20" i="36"/>
  <c r="O23" i="43"/>
  <c r="AS7" i="43"/>
  <c r="AT7" i="43" s="1"/>
  <c r="AN7" i="43"/>
  <c r="AO7" i="43" s="1"/>
  <c r="AP7" i="43" s="1"/>
  <c r="AQ7" i="43" s="1"/>
  <c r="W23" i="43"/>
  <c r="W17" i="43"/>
  <c r="W22" i="43" s="1"/>
  <c r="H22" i="43"/>
  <c r="T24" i="43"/>
  <c r="O17" i="43"/>
  <c r="O22" i="43" s="1"/>
  <c r="DB25" i="36"/>
  <c r="H23" i="43"/>
  <c r="T34" i="43"/>
  <c r="G23" i="43"/>
  <c r="F23" i="43"/>
  <c r="G22" i="43"/>
  <c r="BX7" i="43"/>
  <c r="BY7" i="43" s="1"/>
  <c r="BZ7" i="43" s="1"/>
  <c r="CA7" i="43" s="1"/>
  <c r="CB7" i="43" s="1"/>
  <c r="CC7" i="43" s="1"/>
  <c r="CD7" i="43" s="1"/>
  <c r="CE7" i="43" s="1"/>
  <c r="BH7" i="43"/>
  <c r="BI7" i="43" s="1"/>
  <c r="BJ7" i="43" s="1"/>
  <c r="BK7" i="43" s="1"/>
  <c r="E50" i="43"/>
  <c r="E52" i="43" s="1"/>
  <c r="E22" i="43"/>
  <c r="T18" i="43"/>
  <c r="F24" i="36" l="1"/>
  <c r="BP7" i="43"/>
  <c r="BQ7" i="43" s="1"/>
  <c r="BR7" i="43" s="1"/>
  <c r="BS7" i="43" s="1"/>
  <c r="BL7" i="43"/>
  <c r="BM7" i="43" s="1"/>
  <c r="BN7" i="43" s="1"/>
  <c r="BO7" i="43" s="1"/>
  <c r="T23" i="43"/>
  <c r="T17" i="43"/>
  <c r="T22" i="43"/>
  <c r="CV7" i="43"/>
  <c r="CW7" i="43" s="1"/>
  <c r="CX7" i="43" s="1"/>
  <c r="CY7" i="43" s="1"/>
  <c r="CZ7" i="43" s="1"/>
  <c r="CF7" i="43"/>
  <c r="CG7" i="43" s="1"/>
  <c r="CH7" i="43" s="1"/>
  <c r="CI7" i="43" s="1"/>
  <c r="E22" i="36" l="1"/>
  <c r="F22" i="36" s="1"/>
  <c r="F23" i="36"/>
  <c r="CN7" i="43"/>
  <c r="CO7" i="43" s="1"/>
  <c r="CP7" i="43" s="1"/>
  <c r="CQ7" i="43" s="1"/>
  <c r="CJ7" i="43"/>
  <c r="CK7" i="43" s="1"/>
  <c r="CL7" i="43" s="1"/>
  <c r="CM7" i="43" s="1"/>
  <c r="DT7" i="43"/>
  <c r="DU7" i="43" s="1"/>
  <c r="DV7" i="43" s="1"/>
  <c r="DW7" i="43" s="1"/>
  <c r="DX7" i="43" s="1"/>
  <c r="DY7" i="43" s="1"/>
  <c r="DZ7" i="43" s="1"/>
  <c r="EA7" i="43" s="1"/>
  <c r="DA7" i="43"/>
  <c r="DB7" i="43" s="1"/>
  <c r="DC7" i="43" s="1"/>
  <c r="DD7" i="43" s="1"/>
  <c r="DE7" i="43" s="1"/>
  <c r="DF7" i="43" s="1"/>
  <c r="DG7" i="43" s="1"/>
  <c r="DL7" i="43" l="1"/>
  <c r="DM7" i="43" s="1"/>
  <c r="DN7" i="43" s="1"/>
  <c r="DO7" i="43" s="1"/>
  <c r="DH7" i="43"/>
  <c r="DI7" i="43" s="1"/>
  <c r="DJ7" i="43" s="1"/>
  <c r="DK7" i="43" s="1"/>
  <c r="EP7" i="43"/>
  <c r="EQ7" i="43" s="1"/>
  <c r="EB7" i="43"/>
  <c r="EC7" i="43" s="1"/>
  <c r="ED7" i="43" s="1"/>
  <c r="EE7" i="43" s="1"/>
  <c r="EJ7" i="43" l="1"/>
  <c r="EK7" i="43" s="1"/>
  <c r="EL7" i="43" s="1"/>
  <c r="EM7" i="43" s="1"/>
  <c r="EF7" i="43"/>
  <c r="EG7" i="43" s="1"/>
  <c r="EH7" i="43" s="1"/>
  <c r="EI7" i="43" s="1"/>
</calcChain>
</file>

<file path=xl/sharedStrings.xml><?xml version="1.0" encoding="utf-8"?>
<sst xmlns="http://schemas.openxmlformats.org/spreadsheetml/2006/main" count="1034" uniqueCount="238">
  <si>
    <t>прочим потребителям</t>
  </si>
  <si>
    <t>Срок реализации мероприятия, лет</t>
  </si>
  <si>
    <t>Наименование показателя</t>
  </si>
  <si>
    <t>тыс. руб.</t>
  </si>
  <si>
    <t>%</t>
  </si>
  <si>
    <t>Участок Анюйск</t>
  </si>
  <si>
    <t>1.</t>
  </si>
  <si>
    <t>1.1.</t>
  </si>
  <si>
    <t>1.2.</t>
  </si>
  <si>
    <t>1.3.</t>
  </si>
  <si>
    <t>1.4.</t>
  </si>
  <si>
    <t>1.5.</t>
  </si>
  <si>
    <t>2.</t>
  </si>
  <si>
    <t>2.1.</t>
  </si>
  <si>
    <t>2.2.</t>
  </si>
  <si>
    <t>Участок Билибино</t>
  </si>
  <si>
    <t>Участок Илирней</t>
  </si>
  <si>
    <t>Участок Кепервеем</t>
  </si>
  <si>
    <t>Участок Омолон</t>
  </si>
  <si>
    <t>Участок Островное</t>
  </si>
  <si>
    <t>3.</t>
  </si>
  <si>
    <t>№           п/п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</si>
  <si>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</si>
  <si>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</si>
  <si>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</si>
  <si>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</si>
  <si>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</si>
  <si>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</si>
  <si>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Показатели качества воды</t>
  </si>
  <si>
    <t>Показатели эффективности использования ресурсов, в том числе уроветь потерь воды</t>
  </si>
  <si>
    <t>1.1</t>
  </si>
  <si>
    <t>1.2</t>
  </si>
  <si>
    <t>2.1</t>
  </si>
  <si>
    <t>3.1</t>
  </si>
  <si>
    <t>3.2</t>
  </si>
  <si>
    <t>ед./км</t>
  </si>
  <si>
    <t>удельный расход электрической энергии, потребляемой в технологическом процессе подготовки питьевой воды, на единицу объема воды, отпускаемой в сеть</t>
  </si>
  <si>
    <t>Показатели надежности и бесперебойности водоснабжения</t>
  </si>
  <si>
    <t>удельный расход электрической энергии, потребляемой в технологическом процессе транспортировки питьевой воды, на единицу объема транспортируемой воды</t>
  </si>
  <si>
    <t>-</t>
  </si>
  <si>
    <t>кВт.ч/     куб.м</t>
  </si>
  <si>
    <t>4.</t>
  </si>
  <si>
    <t>5.</t>
  </si>
  <si>
    <t>6.</t>
  </si>
  <si>
    <t>6.1.</t>
  </si>
  <si>
    <t>* План мероприятий, направленных на улучшение качества питьевой воды, организацией не представлен</t>
  </si>
  <si>
    <t>доля потерь воды в централизованной системе водоснабжения при транспортировке в общем объеме воды, поданной в водопроводную сеть</t>
  </si>
  <si>
    <t>* План мероприятий по энергосбережению и повышению энергетической эффективности организацией не представлен</t>
  </si>
  <si>
    <t>доля проб питьевой воды в распределительной водопроводной сети, не соответствующих установленным требованиям, в общем объеме проб, отобранных по результам производственного контроля качества питьевой воды</t>
  </si>
  <si>
    <t>общее количество отобранных проб</t>
  </si>
  <si>
    <t>ед.</t>
  </si>
  <si>
    <t>I</t>
  </si>
  <si>
    <t>2.2</t>
  </si>
  <si>
    <t>1</t>
  </si>
  <si>
    <t>2</t>
  </si>
  <si>
    <t>II</t>
  </si>
  <si>
    <t>протяженность водопроводной сети</t>
  </si>
  <si>
    <t>км</t>
  </si>
  <si>
    <t>III</t>
  </si>
  <si>
    <t>общий объем воды, поданной в водопроводную сеть</t>
  </si>
  <si>
    <t>объем потерь воды в централизованной системе водоснабжения при ее транспортировке</t>
  </si>
  <si>
    <t>общее количество электрической энергии, потребляемой в технологическом процессе подготовки питьевой воды</t>
  </si>
  <si>
    <t>общий объем питьевой воды, в отношении которой осуществляется водоподготовка</t>
  </si>
  <si>
    <t>общее количество электрической энергии, потребляемой в технологическом процессе транспортировки питьевой воды</t>
  </si>
  <si>
    <t>общий объем транспортируемой воды</t>
  </si>
  <si>
    <t>3</t>
  </si>
  <si>
    <t>тыс.куб.м</t>
  </si>
  <si>
    <t>2.4.</t>
  </si>
  <si>
    <t>Значение показателя</t>
  </si>
  <si>
    <t>тыс.кВт.ч</t>
  </si>
  <si>
    <t>Раздел 1.  Паспорт производственной программы</t>
  </si>
  <si>
    <t>МП ЖКХ Билибинского муниципального района</t>
  </si>
  <si>
    <t>Комитет государственного регулирования цен и тарифов Чукотского автономного округа</t>
  </si>
  <si>
    <t>689450, Чукотский автономный округ, г. Билибино, ул. Геологов д. 1а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</si>
  <si>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</si>
  <si>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</si>
  <si>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</si>
  <si>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Местонахождение уполномоченного органа</t>
  </si>
  <si>
    <t>ОТЧЕТ ОБ ИСПОЛНЕНИИ ПРОИЗВОДСТВЕННОЙ ПРОГРАММЫ</t>
  </si>
  <si>
    <t>№
п/п</t>
  </si>
  <si>
    <t>Наименование</t>
  </si>
  <si>
    <t>план</t>
  </si>
  <si>
    <t>факт</t>
  </si>
  <si>
    <t>год</t>
  </si>
  <si>
    <t>1 полугодие</t>
  </si>
  <si>
    <t>2 полугодие</t>
  </si>
  <si>
    <t>Объем воды из источников водоснабжения:</t>
  </si>
  <si>
    <t>куб.м</t>
  </si>
  <si>
    <t>из подземных источников</t>
  </si>
  <si>
    <t>Объем воды от других операторов (покупка воды)</t>
  </si>
  <si>
    <t>Потребление на собственные нужды</t>
  </si>
  <si>
    <t>Объем питьевой воды, поданной в сеть</t>
  </si>
  <si>
    <t>Потери воды</t>
  </si>
  <si>
    <t>5.1</t>
  </si>
  <si>
    <t xml:space="preserve">  потери воды из водопроводной сети</t>
  </si>
  <si>
    <t>5.2</t>
  </si>
  <si>
    <t xml:space="preserve">  неучтенные расходы воды</t>
  </si>
  <si>
    <t>Полезный отпуск питьевой воды, всего</t>
  </si>
  <si>
    <t>в т.ч. межцеховый оборот:</t>
  </si>
  <si>
    <t>6.1.1</t>
  </si>
  <si>
    <t xml:space="preserve">  для приготовления горячей воды</t>
  </si>
  <si>
    <t>6.1.2</t>
  </si>
  <si>
    <t xml:space="preserve">  для производства тепловой энергии</t>
  </si>
  <si>
    <t>6.1.3</t>
  </si>
  <si>
    <t xml:space="preserve">  на прочие производственные нужды</t>
  </si>
  <si>
    <t>7.</t>
  </si>
  <si>
    <t>Отпуск питьевой воды, всего</t>
  </si>
  <si>
    <t>проверка</t>
  </si>
  <si>
    <t>7.1.</t>
  </si>
  <si>
    <t>в т.ч. населению:</t>
  </si>
  <si>
    <t xml:space="preserve">  городскому</t>
  </si>
  <si>
    <t xml:space="preserve">          - по приборам учета</t>
  </si>
  <si>
    <t xml:space="preserve">          - по нормативам </t>
  </si>
  <si>
    <t>7.2.</t>
  </si>
  <si>
    <t xml:space="preserve"> сельскому</t>
  </si>
  <si>
    <t>7.3</t>
  </si>
  <si>
    <t>бюджетным потребителям:</t>
  </si>
  <si>
    <t xml:space="preserve">        - расчетными способами</t>
  </si>
  <si>
    <t>7.4</t>
  </si>
  <si>
    <t xml:space="preserve">          - расчетными способами</t>
  </si>
  <si>
    <t xml:space="preserve">   из поверхностных источников</t>
  </si>
  <si>
    <t>участок Билибино</t>
  </si>
  <si>
    <t>участок Анюйск</t>
  </si>
  <si>
    <t>участок Илирней</t>
  </si>
  <si>
    <t>участок Кепервеем</t>
  </si>
  <si>
    <t>участок Омолон</t>
  </si>
  <si>
    <t>участок Островное</t>
  </si>
  <si>
    <t>Показатели производственной деятельности</t>
  </si>
  <si>
    <t>ФАКТ</t>
  </si>
  <si>
    <t xml:space="preserve">Раздел 2. Баланс водоснабжения (питьевая вода (питьевое водоснабжение)) </t>
  </si>
  <si>
    <t>Расход на технолог. нужды</t>
  </si>
  <si>
    <t>заполнение(промывка) т/сетей</t>
  </si>
  <si>
    <t>Х.в. на подпитку т/с ЦТП -2</t>
  </si>
  <si>
    <t>расход на с/н (холодная вода ТС)</t>
  </si>
  <si>
    <t>2019 год</t>
  </si>
  <si>
    <t>2020 год</t>
  </si>
  <si>
    <t>2021 год</t>
  </si>
  <si>
    <t>2022 год</t>
  </si>
  <si>
    <t>2023 год</t>
  </si>
  <si>
    <r>
      <t xml:space="preserve">Раздел 3. Перечень плановых мероприятий по ремонту объектов централизованных систем </t>
    </r>
    <r>
      <rPr>
        <b/>
        <sz val="12"/>
        <rFont val="Times New Roman"/>
        <family val="1"/>
        <charset val="204"/>
      </rPr>
      <t>холодного водоснабжения, мероприятий, направленных на улучшение качества питьевой воды, мероприятий по энергосбережению и повышению энергетической эффективности, в том числе по снижению потерь воды при транспортировке</t>
    </r>
  </si>
  <si>
    <r>
      <t>3.1. План мероприятий по ремонту объектов централизованных систе</t>
    </r>
    <r>
      <rPr>
        <b/>
        <sz val="12"/>
        <rFont val="Times New Roman"/>
        <family val="1"/>
        <charset val="204"/>
      </rPr>
      <t>м холодного водоснабжения</t>
    </r>
  </si>
  <si>
    <t>1.6.</t>
  </si>
  <si>
    <t>Ремонт участка сетей холодного водоснабжения</t>
  </si>
  <si>
    <t>2.5.</t>
  </si>
  <si>
    <t>3.2. План мероприятий, направленных на улучшение качества питьевой воды*</t>
  </si>
  <si>
    <t>3.3. План мероприятий по энергосбережению и повышению энергетической эффективности, в том числе по снижению потерь воды при транспортировке*</t>
  </si>
  <si>
    <t>Раздел 4. Объем финансовых потребностей, необходимых для реализации производственной программы</t>
  </si>
  <si>
    <t>№ 
п/п</t>
  </si>
  <si>
    <t>ПЛАН</t>
  </si>
  <si>
    <t>Отклонение 
(- не использовано, + перерасход)</t>
  </si>
  <si>
    <t>Причины отклонения</t>
  </si>
  <si>
    <t>Раздел 5. Плановые показатели надежности, качества, энергетической эффективности объектов централизованных систем холодного водоснабжения</t>
  </si>
  <si>
    <t>доля проб питьевой воды, подаваемой с источников водоснабжения, водопроводных станций или иных объектов централизованной системы водоснабжения в распределительную водопроводную сеть,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</si>
  <si>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>показатель надежности и бесперебойности централизованной системы холодного водоснабжения</t>
  </si>
  <si>
    <t>количество перерывов в подаче воды, зафиксированных в определенных договором холодного водоснабжения, единым договором водоснабжения и водоотведения или договором транспортировки холодной воды местах исполнения обязательств организации, осуществляющей холодное водоснабжение по подаче холодной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холодного водоснабжения, принадлежащих организации, осуществляющей холодное водоснабжение и (или) водоотведение (без плановых ремонтов)</t>
  </si>
  <si>
    <t xml:space="preserve">Отклонение </t>
  </si>
  <si>
    <t>Отклонение</t>
  </si>
  <si>
    <t>Производственный контроль</t>
  </si>
  <si>
    <t>Кол-во проб отобрано в соответствии с СанПин 1.2.3685-21</t>
  </si>
  <si>
    <t>Показатетели -  цветность, окисляемость , железо общее, воды источника водоснабжения имеют превышение в объеме 100%</t>
  </si>
  <si>
    <t>Рабочая  программа производственного контроля качества воды источников и питьевой воды системы холодного водоснабжения г. Билибино Билибинского муниципального района на 2021-2025гг. составлена в соответствии с СанПин 1.2.3685-21</t>
  </si>
  <si>
    <t>Рабочая  программа производственного  контроля качества воды источников и питьевой воды системы холодного водоснабжения с.Анюйск Билибинского муниципального района на 2021-2025гг. составлена в соответствии с СанПин 1.2.3685-21. Выведена из эксплуатации ВОС с. Анюйск по причине  дефектов,  в связи с чем отбор проб на ВОС не проводился.</t>
  </si>
  <si>
    <t>Затопление скважины в паводковый период ухудшение цветности, железо общее, ОКБ</t>
  </si>
  <si>
    <t>Рабочая  программа производственного контроля качества воды источников и питьевой воды системы холодного водоснабжения с.Кепервеем  Билибинского муниципального района на 2021-2025гг. составлена в соответствии с СанПин 1.2.3685-21 Скважины 1 в работе  и две резервные отбирались и проводились исследования по санитарно-микробиологическим показателям ежемесячно.</t>
  </si>
  <si>
    <t xml:space="preserve"> В паводковый период ухудшение по цветности, железо общее, ОКБ</t>
  </si>
  <si>
    <t>Рабочая  программа производственного контроля качества воды источников и питьевой воды системы холодного водоснабжения с. Омолон  Билибинского муниципального района на 2021-2025гг. составлена в соответствии с СанПин 1.2.3685-21 Скважина отбиралась на санитарно-микробиологические показатели ежемесячно.</t>
  </si>
  <si>
    <t xml:space="preserve">С января по декабрь работает повышающий насос на водопроводных сетях установленный пожводоемном здании. </t>
  </si>
  <si>
    <t>2024 год</t>
  </si>
  <si>
    <t>Ремонт участка магистральной сети горячего водоснабжения 2-ой очереди ЦТП №4 - ЦРП от компенсатора № 6 до № 7 в г. Билибино  ГВС: ТЭ+ХВС</t>
  </si>
  <si>
    <t>Текущий ремонт коллектора горячей воды в здании ЦТП-1 г. Билибино ГВС: ТЭ+ХВС</t>
  </si>
  <si>
    <t>Замена фильтрующей загрузки первой ступени очистки фильтров СФ №1; СФ №2; СФ №3  с последующим проведением пуско-наладочных работ оборудования ВОС-2</t>
  </si>
  <si>
    <t>Замена фильтрующей загрузки первой ступени очистки фильтров СФ №1; СФ №2; СФ №3  с последующим проведением пуско-наладочных работ оборудования ВОС-1</t>
  </si>
  <si>
    <t>ООО "ПромИнжСтрой"</t>
  </si>
  <si>
    <t>Капитальный ремонт участка тепловой сети и сетей холодного водоснабжения от ТК №13 до ТК № 18 в с. Кепервеем</t>
  </si>
  <si>
    <t>Капитальный ремонт участка сетей холодного водоснабжения от ТК № 22а до ТК №23 в с. Кепервеем</t>
  </si>
  <si>
    <t>Капитальный ремонт участка сетей холодного водоснабжения от ТК №1 до ТК №34, от ТК №18 до ТК №24 в с. Кепервеем</t>
  </si>
  <si>
    <t>Капитальный ремонт участка сетей холодного водоснабжения от ТК № 3 до ТК № 19 в с. Кепервеем</t>
  </si>
  <si>
    <t>Капитальный ремонт  участка сети холодного водоснабжения от ТК № 39 до ТК № 66 в с.п. Омолон</t>
  </si>
  <si>
    <t>Капитальный ремонт участка тепловой сети и холодного водоснабжения от ТК № 39 до врезки в здание МБОУ "ШИ с.Омолон</t>
  </si>
  <si>
    <t>Замена участка холодного водоснабжения от ТК № 10 до ТК № 38 в с. Островное</t>
  </si>
  <si>
    <t>Замена участка холодного водоснабжения от ТК № 5 до ТК № 72 в с. Островное</t>
  </si>
  <si>
    <t>689000, Чукотский автономный округ, г. Анадырь, ул. Отке, 44</t>
  </si>
  <si>
    <t>Уменьшена продолжительность промывок фильтров в связи с заменой фильтрующей загрузки.</t>
  </si>
  <si>
    <t>Ухудшение по цветности, железо общее в связи с дефектами ВПУ-12 -Водоочистной станции. В целях устранения дефектов, системататически производится наладка оброудования специалистами подразделения ВКХ г. Билибино.</t>
  </si>
  <si>
    <t>Рабочая  программа производственного контроля качества воды источников и питьевой воды системы холодного водоснабжения с. Илирней  Билибинского муниципального района на 2021-2025гг. составлена в соответствии с СанПин 1.2.3685-21. Скважина отбиралась на санитарно-микробиологические показатели ежемесячно.</t>
  </si>
  <si>
    <t>Рабочая  программа производственного контроля качества воды источников и питьевой воды системы холодного водоснабжения с.Кепервеем  Билибинского муниципального района на 2021-2025гг. составлена в соответствии с СанПин 1.2.3685-21. Скважины 1 в работе  и две резервные отбирались и проводились исследования по санитарно-микробиологическим показателям ежемесячно.</t>
  </si>
  <si>
    <t>Ремонтые работы выполнены в соответствии с планом меропритяий по подготовке объектов МП ЖКХ к экплуатации в осенне-зимний период 2024-2025 г.г.</t>
  </si>
  <si>
    <r>
      <t xml:space="preserve">количество проб питьевой воды, отобранных по результатам производственного контроля, </t>
    </r>
    <r>
      <rPr>
        <b/>
        <sz val="12"/>
        <rFont val="Times New Roman"/>
        <family val="1"/>
        <charset val="204"/>
      </rPr>
      <t>не соответствующих установленным требованиям</t>
    </r>
  </si>
  <si>
    <r>
      <t xml:space="preserve">количество проб питьевой воды в распределительной водопроводной сети, отобранных по результатам производственного контроля качества питьевой воды, </t>
    </r>
    <r>
      <rPr>
        <b/>
        <sz val="12"/>
        <rFont val="Times New Roman"/>
        <family val="1"/>
        <charset val="204"/>
      </rPr>
      <t>не соответствующих установленным требованиям</t>
    </r>
  </si>
  <si>
    <t>в сфере холодного водоснабжения (питьевая вода (питьевое водоснабжение)) 
МП ЖКХ Билибинского муниципального района за 2025 год</t>
  </si>
  <si>
    <t>2025 год</t>
  </si>
  <si>
    <t xml:space="preserve">Ремонт участка магистральной сети горячего водоснабжения от ТК № 101 до ТК № 103 в г.Билибино </t>
  </si>
  <si>
    <t>Замена участка трубопроводов горячей и холодной воды подпиточной линии ЦТП № 2 г. Билибино</t>
  </si>
  <si>
    <t>Прокладка вводных трубопроводов тепловой сети, горячего и холодного водоснабжения от трубопроводов магистральной сети в УУ МКД № 24 ул. Ленина г. Билибино</t>
  </si>
  <si>
    <t>Проведение экспертной оценки сметной стоимости объекта</t>
  </si>
  <si>
    <t>Проетная документация по объекту Тепловые сети,сети горячего и холодного водоснабжения от ТК 706 до ТК 705-3 по вх.д. б.н. от 22.12.2025</t>
  </si>
  <si>
    <t>Проектная документация по объекту Сети горячего и холодного водоснабжения от ТК 101 до ТК 205 по вх.д. б.н. от 22.12.2025</t>
  </si>
  <si>
    <t>Штукатурные и покрасочные работы в помещении микробиологической лаборатории подразделения ВКХ</t>
  </si>
  <si>
    <t>Ремонтные работы, выполняемы подсобным подразделением "Ремонтно-строительная группа" г. Билибино</t>
  </si>
  <si>
    <t>Мероприятия по текущему ремонту</t>
  </si>
  <si>
    <t>1.7.</t>
  </si>
  <si>
    <t>1.8.</t>
  </si>
  <si>
    <t>Мероприятия по капитальному ремонту</t>
  </si>
  <si>
    <t>Капитальный ремонт участка сетей горячего и холодного водоснабжения совместно с трубопроводом теплового сопровождения от ТК № 704 до ТК № 703-1 в г.Билибино</t>
  </si>
  <si>
    <t>Ремонтые работы выполнены в соответствии с планом меропритяий по подготовке объектов МП ЖКХ к экплуатации в осенне-зимний период 2025-2026 г.г.</t>
  </si>
  <si>
    <t>Капитальный ремонт участка тепловых сетей и сетей холодного водоснабжения от ТК № 76 до ТК № 78 в с.п. Анюйск</t>
  </si>
  <si>
    <t>Услуги Ремонтно-строительной группы участка г. Билибино</t>
  </si>
  <si>
    <t>Услуги Ремонтно-строительной группы участка Анюйск</t>
  </si>
  <si>
    <t>2.3.</t>
  </si>
  <si>
    <t>Капитальный ремонт участка сетей холодного водоснабжения от ТК № 60 до ТК № 62 в с. Кепервеем</t>
  </si>
  <si>
    <t>2026 год</t>
  </si>
  <si>
    <t>2027 год</t>
  </si>
  <si>
    <t>2028 год</t>
  </si>
  <si>
    <t>Ремонт участка сетей холодного водоснабжения от ТК № 63 до ТК № 67 в с. Кепервеем</t>
  </si>
  <si>
    <t>Прокладка СИП от здания водозабора № 2 до котельной № 2 в с. Кепервеем</t>
  </si>
  <si>
    <t>Капитальный ремонт участка сетей холодного водоснабжения от ТК № 19 до котельной № 1 в с. Кепервеем</t>
  </si>
  <si>
    <t>Ремонтные работы, выполняемы подсобным подразделением "Ремонтно-строительная группа" участка Омолон</t>
  </si>
  <si>
    <t>Капитальный ремонт участка сетей холодного водоснабжения от ТК №39 до ТК №24 в с.п. Омолон</t>
  </si>
  <si>
    <t>Капитальный ремонт участков сетей холодного водоснабжения от ТК №39 до ТК №44, от ТК №44 до ТК №52А в с.п. Омолон</t>
  </si>
  <si>
    <t>Капитальный ремонт участка сетей холодного водоснабжения от ТК №34 до ТК №36 в с.п. Омолон</t>
  </si>
  <si>
    <t>Капитальный ремонт сетей холодного водоснабжения от ТК № 30 до ТК №33 в с.п. Омолон</t>
  </si>
  <si>
    <t xml:space="preserve">Отсутствие собственных квалифицированных специалистов для выполнения требуемого объема работ. </t>
  </si>
  <si>
    <t>2024-2028 годы</t>
  </si>
  <si>
    <t>Ремонтные работы, выполняемы подсобным подразделением "Ремонтно-строительная группа" участка Островное</t>
  </si>
  <si>
    <t>Капитальный ремонт участка сетей холодного водоснабжения от ТК №64 до расширительной емкости в здании котельной в с.п. Островное</t>
  </si>
  <si>
    <t>Капитальный ремонт участка сетей холодного водоснабжения от ТК №67 до ТК №83 в с.п. Островное</t>
  </si>
  <si>
    <t>Капитальный ремонт участка сетей холодного водоснабжения от ТК №4 до ТК №12 в с.п. Островное</t>
  </si>
  <si>
    <t>Всего:</t>
  </si>
  <si>
    <t xml:space="preserve">2025 год </t>
  </si>
  <si>
    <t xml:space="preserve">2026 год </t>
  </si>
  <si>
    <t xml:space="preserve">2027 год </t>
  </si>
  <si>
    <t xml:space="preserve">2028 год </t>
  </si>
  <si>
    <t>Работа насосной станции второго подъема. Водонапорная башня выведена из эксплуатации.</t>
  </si>
  <si>
    <t>Рабочая  программа производственного контроля качества воды источников и питьевой воды системы холодного водоснабжения с. Островное  Билибинского муниципального района на 2021-2025гг. составлена в соответствии с СанПин 1.2.3685-21 Скважина отбиралась на санитарно-микробиологические показатели ежемесячно.</t>
  </si>
  <si>
    <t>Руководитель организации</t>
  </si>
  <si>
    <t>С.И. Брычаев</t>
  </si>
  <si>
    <t>(должность)</t>
  </si>
  <si>
    <t>(ФИО, 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</si>
</sst>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"/>
    <numFmt numFmtId="168" formatCode="0.000"/>
    <numFmt numFmtId="169" formatCode="#,##0.000"/>
    <numFmt numFmtId="170" formatCode="_-* #,##0\ &quot;р.&quot;_-;\-* #,##0\ &quot;р.&quot;_-;_-* &quot;-&quot;\ &quot;р.&quot;_-;_-@_-"/>
    <numFmt numFmtId="171" formatCode="#,##0\ &quot;d.&quot;;[Red]\-#,##0\ &quot;d.&quot;"/>
    <numFmt numFmtId="172" formatCode="#,##0.00\ &quot;d.&quot;;[Red]\-#,##0.00\ &quot;d.&quot;"/>
    <numFmt numFmtId="173" formatCode="#,##0.00\ &quot;đ.&quot;;[Red]\-#,##0.00\ &quot;đ.&quot;"/>
    <numFmt numFmtId="174" formatCode="_-* #,##0\ _đ_._-;\-* #,##0\ _đ_._-;_-* &quot;-&quot;\ _đ_._-;_-@_-"/>
    <numFmt numFmtId="175" formatCode="_-* #,##0.00\ _đ_._-;\-* #,##0.00\ _đ_._-;_-* &quot;-&quot;??\ _đ_._-;_-@_-"/>
    <numFmt numFmtId="176" formatCode="#,##0\ &quot;р.&quot;;[Red]\-#,##0\ &quot;р.&quot;"/>
    <numFmt numFmtId="177" formatCode="_-* #,##0\ _р_._-;\-* #,##0\ _р_._-;_-* &quot;-&quot;\ _р_._-;_-@_-"/>
    <numFmt numFmtId="178" formatCode="_-* #,##0.00\ _р_._-;\-* #,##0.00\ _р_._-;_-* &quot;-&quot;??\ _р_._-;_-@_-"/>
  </numFmts>
  <fonts count="43" x14ac:knownFonts="1">
    <font>
      <sz val="10"/>
      <name val="Arial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Courier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0"/>
      <color indexed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12"/>
      <name val="Helv"/>
      <charset val="204"/>
    </font>
    <font>
      <sz val="10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Helv"/>
      <charset val="204"/>
    </font>
    <font>
      <sz val="10"/>
      <color rgb="FF0000FF"/>
      <name val="Helv"/>
      <charset val="204"/>
    </font>
    <font>
      <sz val="10"/>
      <color rgb="FFFF0000"/>
      <name val="Helv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5">
    <xf numFmtId="0" fontId="0" fillId="0" borderId="0"/>
    <xf numFmtId="0" fontId="6" fillId="0" borderId="0"/>
    <xf numFmtId="170" fontId="20" fillId="0" borderId="0" applyFont="0" applyFill="0" applyBorder="0" applyAlignment="0" applyProtection="0"/>
    <xf numFmtId="171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1" fillId="0" borderId="0"/>
    <xf numFmtId="0" fontId="7" fillId="0" borderId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7" fillId="0" borderId="0"/>
    <xf numFmtId="164" fontId="18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22">
    <xf numFmtId="0" fontId="0" fillId="0" borderId="0" xfId="0"/>
    <xf numFmtId="0" fontId="9" fillId="0" borderId="0" xfId="0" applyFont="1"/>
    <xf numFmtId="0" fontId="6" fillId="0" borderId="0" xfId="0" applyFont="1"/>
    <xf numFmtId="166" fontId="6" fillId="0" borderId="0" xfId="0" applyNumberFormat="1" applyFont="1"/>
    <xf numFmtId="0" fontId="8" fillId="0" borderId="0" xfId="30" applyFont="1"/>
    <xf numFmtId="0" fontId="13" fillId="0" borderId="0" xfId="30" applyFont="1"/>
    <xf numFmtId="0" fontId="8" fillId="0" borderId="1" xfId="30" applyFont="1" applyBorder="1" applyAlignment="1">
      <alignment horizontal="left" vertical="center" wrapText="1"/>
    </xf>
    <xf numFmtId="0" fontId="8" fillId="0" borderId="0" xfId="30" applyFont="1" applyAlignment="1">
      <alignment horizontal="left" vertical="center" wrapText="1"/>
    </xf>
    <xf numFmtId="0" fontId="4" fillId="0" borderId="0" xfId="20" applyFont="1" applyAlignment="1">
      <alignment horizontal="left" vertical="center"/>
    </xf>
    <xf numFmtId="0" fontId="10" fillId="0" borderId="0" xfId="30" applyFont="1"/>
    <xf numFmtId="0" fontId="4" fillId="0" borderId="0" xfId="20" applyFont="1" applyAlignment="1">
      <alignment horizontal="left"/>
    </xf>
    <xf numFmtId="0" fontId="10" fillId="0" borderId="0" xfId="30" applyFont="1" applyAlignment="1">
      <alignment horizontal="left"/>
    </xf>
    <xf numFmtId="0" fontId="4" fillId="0" borderId="1" xfId="20" applyFont="1" applyBorder="1" applyAlignment="1">
      <alignment horizontal="left" vertical="center"/>
    </xf>
    <xf numFmtId="0" fontId="4" fillId="0" borderId="1" xfId="20" applyFont="1" applyBorder="1" applyAlignment="1">
      <alignment horizontal="center" vertical="center" wrapText="1"/>
    </xf>
    <xf numFmtId="0" fontId="4" fillId="0" borderId="1" xfId="20" applyFont="1" applyBorder="1" applyAlignment="1">
      <alignment vertical="center" wrapText="1"/>
    </xf>
    <xf numFmtId="0" fontId="5" fillId="0" borderId="25" xfId="20" applyFont="1" applyBorder="1" applyAlignment="1">
      <alignment vertical="center"/>
    </xf>
    <xf numFmtId="0" fontId="5" fillId="0" borderId="0" xfId="20" applyFont="1" applyAlignment="1">
      <alignment vertical="center"/>
    </xf>
    <xf numFmtId="0" fontId="14" fillId="0" borderId="0" xfId="20" applyFont="1"/>
    <xf numFmtId="0" fontId="16" fillId="0" borderId="0" xfId="20" applyFont="1" applyAlignment="1">
      <alignment vertical="top"/>
    </xf>
    <xf numFmtId="0" fontId="15" fillId="0" borderId="1" xfId="20" applyFont="1" applyBorder="1" applyAlignment="1">
      <alignment horizontal="center" vertical="center" wrapText="1"/>
    </xf>
    <xf numFmtId="0" fontId="2" fillId="0" borderId="0" xfId="20" applyFont="1" applyAlignment="1">
      <alignment vertical="center"/>
    </xf>
    <xf numFmtId="49" fontId="17" fillId="0" borderId="3" xfId="20" applyNumberFormat="1" applyFont="1" applyBorder="1" applyAlignment="1">
      <alignment horizontal="center" vertical="center" wrapText="1"/>
    </xf>
    <xf numFmtId="0" fontId="17" fillId="0" borderId="3" xfId="20" applyFont="1" applyBorder="1" applyAlignment="1">
      <alignment vertical="center" wrapText="1"/>
    </xf>
    <xf numFmtId="0" fontId="2" fillId="0" borderId="3" xfId="20" applyFont="1" applyBorder="1" applyAlignment="1">
      <alignment horizontal="center" vertical="center" wrapText="1"/>
    </xf>
    <xf numFmtId="49" fontId="15" fillId="0" borderId="17" xfId="20" applyNumberFormat="1" applyFont="1" applyBorder="1" applyAlignment="1">
      <alignment horizontal="center" vertical="center" wrapText="1"/>
    </xf>
    <xf numFmtId="0" fontId="15" fillId="0" borderId="17" xfId="20" applyFont="1" applyBorder="1" applyAlignment="1">
      <alignment horizontal="left" vertical="center" wrapText="1" indent="1"/>
    </xf>
    <xf numFmtId="0" fontId="2" fillId="0" borderId="17" xfId="20" applyFont="1" applyBorder="1" applyAlignment="1">
      <alignment horizontal="center" vertical="center" wrapText="1"/>
    </xf>
    <xf numFmtId="49" fontId="15" fillId="0" borderId="5" xfId="20" applyNumberFormat="1" applyFont="1" applyBorder="1" applyAlignment="1">
      <alignment horizontal="center" vertical="center" wrapText="1"/>
    </xf>
    <xf numFmtId="0" fontId="15" fillId="0" borderId="5" xfId="20" applyFont="1" applyBorder="1" applyAlignment="1">
      <alignment horizontal="left" vertical="center" wrapText="1" indent="2"/>
    </xf>
    <xf numFmtId="0" fontId="2" fillId="0" borderId="5" xfId="20" applyFont="1" applyBorder="1" applyAlignment="1">
      <alignment horizontal="center" vertical="center" wrapText="1"/>
    </xf>
    <xf numFmtId="49" fontId="17" fillId="0" borderId="5" xfId="20" applyNumberFormat="1" applyFont="1" applyBorder="1" applyAlignment="1">
      <alignment horizontal="center" vertical="center" wrapText="1"/>
    </xf>
    <xf numFmtId="0" fontId="17" fillId="0" borderId="5" xfId="20" applyFont="1" applyBorder="1" applyAlignment="1">
      <alignment vertical="center" wrapText="1"/>
    </xf>
    <xf numFmtId="167" fontId="17" fillId="0" borderId="5" xfId="20" applyNumberFormat="1" applyFont="1" applyBorder="1" applyAlignment="1">
      <alignment horizontal="center" vertical="center" wrapText="1"/>
    </xf>
    <xf numFmtId="0" fontId="15" fillId="0" borderId="5" xfId="20" applyFont="1" applyBorder="1" applyAlignment="1">
      <alignment vertical="center" wrapText="1"/>
    </xf>
    <xf numFmtId="0" fontId="16" fillId="0" borderId="5" xfId="20" applyFont="1" applyBorder="1" applyAlignment="1">
      <alignment horizontal="center" vertical="center" wrapText="1"/>
    </xf>
    <xf numFmtId="0" fontId="16" fillId="0" borderId="0" xfId="20" applyFont="1" applyAlignment="1">
      <alignment vertical="center"/>
    </xf>
    <xf numFmtId="49" fontId="15" fillId="0" borderId="6" xfId="20" applyNumberFormat="1" applyFont="1" applyBorder="1" applyAlignment="1">
      <alignment horizontal="center" vertical="center" wrapText="1"/>
    </xf>
    <xf numFmtId="0" fontId="15" fillId="0" borderId="5" xfId="20" applyFont="1" applyBorder="1" applyAlignment="1">
      <alignment horizontal="left" vertical="center" wrapText="1" indent="1"/>
    </xf>
    <xf numFmtId="0" fontId="2" fillId="0" borderId="6" xfId="20" applyFont="1" applyBorder="1" applyAlignment="1">
      <alignment horizontal="center" vertical="center" wrapText="1"/>
    </xf>
    <xf numFmtId="0" fontId="17" fillId="0" borderId="17" xfId="20" applyFont="1" applyBorder="1" applyAlignment="1">
      <alignment vertical="center" wrapText="1"/>
    </xf>
    <xf numFmtId="0" fontId="16" fillId="0" borderId="17" xfId="20" applyFont="1" applyBorder="1" applyAlignment="1">
      <alignment horizontal="center" vertical="center" wrapText="1"/>
    </xf>
    <xf numFmtId="0" fontId="15" fillId="0" borderId="6" xfId="20" applyFont="1" applyBorder="1" applyAlignment="1">
      <alignment horizontal="left" vertical="center" wrapText="1" indent="1"/>
    </xf>
    <xf numFmtId="49" fontId="17" fillId="0" borderId="6" xfId="20" applyNumberFormat="1" applyFont="1" applyBorder="1" applyAlignment="1">
      <alignment horizontal="center" vertical="center" wrapText="1"/>
    </xf>
    <xf numFmtId="0" fontId="17" fillId="0" borderId="6" xfId="20" applyFont="1" applyBorder="1" applyAlignment="1">
      <alignment vertical="center" wrapText="1"/>
    </xf>
    <xf numFmtId="0" fontId="16" fillId="0" borderId="6" xfId="20" applyFont="1" applyBorder="1" applyAlignment="1">
      <alignment horizontal="center" vertical="center" wrapText="1"/>
    </xf>
    <xf numFmtId="0" fontId="15" fillId="0" borderId="17" xfId="20" applyFont="1" applyBorder="1" applyAlignment="1">
      <alignment horizontal="left" vertical="center" wrapText="1" indent="2"/>
    </xf>
    <xf numFmtId="0" fontId="17" fillId="0" borderId="6" xfId="20" applyFont="1" applyBorder="1" applyAlignment="1">
      <alignment horizontal="left" vertical="center" wrapText="1" indent="1"/>
    </xf>
    <xf numFmtId="0" fontId="15" fillId="0" borderId="6" xfId="20" applyFont="1" applyBorder="1" applyAlignment="1">
      <alignment horizontal="left" vertical="center" wrapText="1" indent="2"/>
    </xf>
    <xf numFmtId="0" fontId="15" fillId="0" borderId="5" xfId="20" applyFont="1" applyBorder="1" applyAlignment="1">
      <alignment horizontal="left" vertical="center" wrapText="1" indent="3"/>
    </xf>
    <xf numFmtId="49" fontId="17" fillId="0" borderId="17" xfId="20" applyNumberFormat="1" applyFont="1" applyBorder="1" applyAlignment="1">
      <alignment horizontal="center" vertical="center" wrapText="1"/>
    </xf>
    <xf numFmtId="0" fontId="17" fillId="0" borderId="17" xfId="20" applyFont="1" applyBorder="1" applyAlignment="1">
      <alignment horizontal="left" vertical="center" wrapText="1" indent="1"/>
    </xf>
    <xf numFmtId="49" fontId="15" fillId="0" borderId="4" xfId="20" applyNumberFormat="1" applyFont="1" applyBorder="1" applyAlignment="1">
      <alignment horizontal="center" vertical="center" wrapText="1"/>
    </xf>
    <xf numFmtId="0" fontId="15" fillId="0" borderId="4" xfId="20" applyFont="1" applyBorder="1" applyAlignment="1">
      <alignment horizontal="left" vertical="center" wrapText="1" indent="2"/>
    </xf>
    <xf numFmtId="0" fontId="2" fillId="0" borderId="4" xfId="20" applyFont="1" applyBorder="1" applyAlignment="1">
      <alignment horizontal="center" vertical="center" wrapText="1"/>
    </xf>
    <xf numFmtId="0" fontId="2" fillId="0" borderId="0" xfId="20" applyFont="1"/>
    <xf numFmtId="0" fontId="17" fillId="0" borderId="1" xfId="20" applyFont="1" applyBorder="1" applyAlignment="1">
      <alignment horizontal="left" vertical="center" wrapText="1" indent="1"/>
    </xf>
    <xf numFmtId="0" fontId="2" fillId="0" borderId="1" xfId="20" applyFont="1" applyBorder="1"/>
    <xf numFmtId="0" fontId="2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4" fillId="0" borderId="37" xfId="20" applyFont="1" applyBorder="1" applyAlignment="1">
      <alignment vertical="center"/>
    </xf>
    <xf numFmtId="0" fontId="4" fillId="0" borderId="22" xfId="20" applyFont="1" applyBorder="1" applyAlignment="1">
      <alignment vertical="center"/>
    </xf>
    <xf numFmtId="0" fontId="14" fillId="0" borderId="15" xfId="20" applyFont="1" applyBorder="1"/>
    <xf numFmtId="0" fontId="16" fillId="0" borderId="15" xfId="20" applyFont="1" applyBorder="1" applyAlignment="1">
      <alignment vertical="top"/>
    </xf>
    <xf numFmtId="0" fontId="2" fillId="0" borderId="15" xfId="20" applyFont="1" applyBorder="1" applyAlignment="1">
      <alignment vertical="center"/>
    </xf>
    <xf numFmtId="0" fontId="16" fillId="0" borderId="15" xfId="20" applyFont="1" applyBorder="1" applyAlignment="1">
      <alignment vertical="center"/>
    </xf>
    <xf numFmtId="0" fontId="9" fillId="0" borderId="0" xfId="19" applyFont="1"/>
    <xf numFmtId="0" fontId="5" fillId="0" borderId="1" xfId="20" applyFont="1" applyBorder="1" applyAlignment="1">
      <alignment horizontal="center" vertical="center" wrapText="1"/>
    </xf>
    <xf numFmtId="0" fontId="4" fillId="0" borderId="0" xfId="20" applyFont="1"/>
    <xf numFmtId="0" fontId="4" fillId="0" borderId="0" xfId="20" applyFont="1" applyAlignment="1">
      <alignment horizontal="center"/>
    </xf>
    <xf numFmtId="0" fontId="4" fillId="0" borderId="4" xfId="20" applyFont="1" applyBorder="1" applyAlignment="1">
      <alignment horizontal="center" vertical="center" wrapText="1"/>
    </xf>
    <xf numFmtId="49" fontId="4" fillId="0" borderId="5" xfId="19" applyNumberFormat="1" applyFont="1" applyBorder="1" applyAlignment="1">
      <alignment horizontal="center" vertical="center" wrapText="1"/>
    </xf>
    <xf numFmtId="2" fontId="4" fillId="0" borderId="5" xfId="19" applyNumberFormat="1" applyFont="1" applyBorder="1" applyAlignment="1">
      <alignment horizontal="left" vertical="center" wrapText="1"/>
    </xf>
    <xf numFmtId="0" fontId="8" fillId="0" borderId="5" xfId="19" applyFont="1" applyBorder="1" applyAlignment="1">
      <alignment horizontal="center"/>
    </xf>
    <xf numFmtId="166" fontId="8" fillId="0" borderId="5" xfId="19" applyNumberFormat="1" applyFont="1" applyBorder="1" applyAlignment="1">
      <alignment horizontal="center"/>
    </xf>
    <xf numFmtId="49" fontId="4" fillId="0" borderId="14" xfId="19" applyNumberFormat="1" applyFont="1" applyBorder="1" applyAlignment="1">
      <alignment horizontal="center" vertical="center" wrapText="1"/>
    </xf>
    <xf numFmtId="2" fontId="4" fillId="0" borderId="14" xfId="19" applyNumberFormat="1" applyFont="1" applyBorder="1" applyAlignment="1">
      <alignment horizontal="left" vertical="center" wrapText="1"/>
    </xf>
    <xf numFmtId="0" fontId="8" fillId="0" borderId="14" xfId="19" applyFont="1" applyBorder="1" applyAlignment="1">
      <alignment horizontal="center"/>
    </xf>
    <xf numFmtId="166" fontId="8" fillId="0" borderId="14" xfId="19" applyNumberFormat="1" applyFont="1" applyBorder="1" applyAlignment="1">
      <alignment horizontal="center"/>
    </xf>
    <xf numFmtId="0" fontId="19" fillId="0" borderId="0" xfId="19" applyFont="1"/>
    <xf numFmtId="166" fontId="5" fillId="0" borderId="1" xfId="20" applyNumberFormat="1" applyFont="1" applyBorder="1" applyAlignment="1">
      <alignment horizontal="center" vertical="center" wrapText="1"/>
    </xf>
    <xf numFmtId="0" fontId="24" fillId="0" borderId="0" xfId="20" applyFont="1"/>
    <xf numFmtId="0" fontId="24" fillId="0" borderId="1" xfId="20" applyFont="1" applyBorder="1"/>
    <xf numFmtId="0" fontId="24" fillId="0" borderId="1" xfId="0" applyFont="1" applyBorder="1" applyAlignment="1">
      <alignment vertical="center"/>
    </xf>
    <xf numFmtId="168" fontId="25" fillId="0" borderId="1" xfId="0" applyNumberFormat="1" applyFont="1" applyBorder="1" applyAlignment="1">
      <alignment vertical="center"/>
    </xf>
    <xf numFmtId="167" fontId="24" fillId="0" borderId="0" xfId="20" applyNumberFormat="1" applyFont="1"/>
    <xf numFmtId="0" fontId="26" fillId="0" borderId="25" xfId="20" applyFont="1" applyBorder="1" applyAlignment="1">
      <alignment vertical="center"/>
    </xf>
    <xf numFmtId="0" fontId="26" fillId="0" borderId="0" xfId="20" applyFont="1" applyAlignment="1">
      <alignment vertical="center"/>
    </xf>
    <xf numFmtId="167" fontId="8" fillId="0" borderId="5" xfId="19" applyNumberFormat="1" applyFont="1" applyBorder="1" applyAlignment="1">
      <alignment horizontal="center"/>
    </xf>
    <xf numFmtId="167" fontId="8" fillId="0" borderId="14" xfId="19" applyNumberFormat="1" applyFont="1" applyBorder="1" applyAlignment="1">
      <alignment horizontal="center"/>
    </xf>
    <xf numFmtId="0" fontId="17" fillId="0" borderId="5" xfId="20" applyFont="1" applyBorder="1" applyAlignment="1">
      <alignment horizontal="left" vertical="center" wrapText="1" indent="1"/>
    </xf>
    <xf numFmtId="167" fontId="9" fillId="0" borderId="0" xfId="19" applyNumberFormat="1" applyFont="1" applyAlignment="1">
      <alignment horizontal="center"/>
    </xf>
    <xf numFmtId="0" fontId="4" fillId="0" borderId="1" xfId="20" applyFont="1" applyBorder="1" applyAlignment="1">
      <alignment horizontal="center" vertical="top" wrapText="1"/>
    </xf>
    <xf numFmtId="0" fontId="5" fillId="0" borderId="1" xfId="20" applyFont="1" applyBorder="1" applyAlignment="1">
      <alignment vertical="center" wrapText="1"/>
    </xf>
    <xf numFmtId="167" fontId="2" fillId="0" borderId="0" xfId="20" applyNumberFormat="1" applyFont="1"/>
    <xf numFmtId="167" fontId="27" fillId="0" borderId="5" xfId="20" applyNumberFormat="1" applyFont="1" applyBorder="1" applyAlignment="1">
      <alignment horizontal="center" vertical="center" wrapText="1"/>
    </xf>
    <xf numFmtId="167" fontId="28" fillId="0" borderId="5" xfId="20" applyNumberFormat="1" applyFont="1" applyBorder="1" applyAlignment="1">
      <alignment vertical="center" wrapText="1"/>
    </xf>
    <xf numFmtId="167" fontId="28" fillId="0" borderId="5" xfId="20" applyNumberFormat="1" applyFont="1" applyBorder="1" applyAlignment="1">
      <alignment horizontal="center" vertical="center" wrapText="1"/>
    </xf>
    <xf numFmtId="167" fontId="28" fillId="0" borderId="15" xfId="20" applyNumberFormat="1" applyFont="1" applyBorder="1" applyAlignment="1">
      <alignment vertical="center"/>
    </xf>
    <xf numFmtId="167" fontId="28" fillId="0" borderId="0" xfId="20" applyNumberFormat="1" applyFont="1" applyAlignment="1">
      <alignment vertical="center"/>
    </xf>
    <xf numFmtId="166" fontId="30" fillId="0" borderId="1" xfId="20" applyNumberFormat="1" applyFont="1" applyBorder="1" applyAlignment="1">
      <alignment horizontal="center" vertical="center" wrapText="1"/>
    </xf>
    <xf numFmtId="166" fontId="29" fillId="0" borderId="1" xfId="20" applyNumberFormat="1" applyFont="1" applyBorder="1" applyAlignment="1">
      <alignment horizontal="center" vertical="center" wrapText="1"/>
    </xf>
    <xf numFmtId="0" fontId="31" fillId="0" borderId="0" xfId="0" applyFont="1"/>
    <xf numFmtId="0" fontId="32" fillId="0" borderId="0" xfId="20" applyFont="1"/>
    <xf numFmtId="0" fontId="33" fillId="0" borderId="25" xfId="20" applyFont="1" applyBorder="1" applyAlignment="1">
      <alignment vertical="center"/>
    </xf>
    <xf numFmtId="0" fontId="33" fillId="0" borderId="0" xfId="20" applyFont="1" applyAlignment="1">
      <alignment vertical="center"/>
    </xf>
    <xf numFmtId="0" fontId="34" fillId="0" borderId="37" xfId="2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7" fontId="5" fillId="0" borderId="1" xfId="20" applyNumberFormat="1" applyFont="1" applyBorder="1" applyAlignment="1">
      <alignment horizontal="center" vertical="center" wrapText="1"/>
    </xf>
    <xf numFmtId="0" fontId="37" fillId="0" borderId="0" xfId="0" applyFont="1"/>
    <xf numFmtId="0" fontId="4" fillId="0" borderId="1" xfId="20" applyFont="1" applyBorder="1" applyAlignment="1">
      <alignment vertical="center"/>
    </xf>
    <xf numFmtId="0" fontId="8" fillId="0" borderId="1" xfId="24" applyFont="1" applyBorder="1" applyAlignment="1">
      <alignment horizontal="left" vertical="top" wrapText="1"/>
    </xf>
    <xf numFmtId="0" fontId="8" fillId="0" borderId="1" xfId="24" applyFont="1" applyBorder="1" applyAlignment="1">
      <alignment horizontal="justify" vertical="top" wrapText="1"/>
    </xf>
    <xf numFmtId="4" fontId="5" fillId="0" borderId="1" xfId="2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9" xfId="0" applyFont="1" applyBorder="1"/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7" fontId="17" fillId="0" borderId="5" xfId="20" applyNumberFormat="1" applyFont="1" applyBorder="1" applyAlignment="1">
      <alignment vertical="center" wrapText="1"/>
    </xf>
    <xf numFmtId="167" fontId="16" fillId="0" borderId="5" xfId="20" applyNumberFormat="1" applyFont="1" applyBorder="1" applyAlignment="1">
      <alignment horizontal="center" vertical="center" wrapText="1"/>
    </xf>
    <xf numFmtId="167" fontId="16" fillId="0" borderId="15" xfId="20" applyNumberFormat="1" applyFont="1" applyBorder="1" applyAlignment="1">
      <alignment vertical="center"/>
    </xf>
    <xf numFmtId="167" fontId="16" fillId="0" borderId="0" xfId="20" applyNumberFormat="1" applyFont="1" applyAlignment="1">
      <alignment vertical="center"/>
    </xf>
    <xf numFmtId="166" fontId="4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38" fillId="0" borderId="0" xfId="0" applyFont="1"/>
    <xf numFmtId="4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24" applyFont="1" applyBorder="1" applyAlignment="1">
      <alignment horizontal="left" vertical="center" wrapText="1"/>
    </xf>
    <xf numFmtId="0" fontId="4" fillId="0" borderId="24" xfId="20" applyFont="1" applyBorder="1" applyAlignment="1">
      <alignment horizontal="center" vertical="center" wrapText="1"/>
    </xf>
    <xf numFmtId="0" fontId="4" fillId="0" borderId="22" xfId="20" applyFont="1" applyBorder="1" applyAlignment="1">
      <alignment horizontal="center" vertical="center" wrapText="1"/>
    </xf>
    <xf numFmtId="0" fontId="10" fillId="0" borderId="1" xfId="24" applyFont="1" applyBorder="1" applyAlignment="1">
      <alignment horizontal="justify" vertical="top" wrapText="1"/>
    </xf>
    <xf numFmtId="0" fontId="4" fillId="0" borderId="1" xfId="24" applyFont="1" applyBorder="1" applyAlignment="1">
      <alignment horizontal="justify" vertical="top" wrapText="1"/>
    </xf>
    <xf numFmtId="2" fontId="4" fillId="0" borderId="1" xfId="20" applyNumberFormat="1" applyFont="1" applyBorder="1" applyAlignment="1">
      <alignment horizontal="center" vertical="center" wrapText="1"/>
    </xf>
    <xf numFmtId="4" fontId="4" fillId="0" borderId="1" xfId="20" applyNumberFormat="1" applyFont="1" applyBorder="1" applyAlignment="1">
      <alignment horizontal="center" vertical="center" wrapText="1"/>
    </xf>
    <xf numFmtId="166" fontId="4" fillId="0" borderId="1" xfId="20" applyNumberFormat="1" applyFont="1" applyBorder="1" applyAlignment="1">
      <alignment horizontal="left" vertical="top" wrapText="1"/>
    </xf>
    <xf numFmtId="0" fontId="9" fillId="0" borderId="19" xfId="19" applyFont="1" applyBorder="1"/>
    <xf numFmtId="0" fontId="4" fillId="0" borderId="1" xfId="20" applyFont="1" applyBorder="1" applyAlignment="1">
      <alignment horizontal="center"/>
    </xf>
    <xf numFmtId="0" fontId="4" fillId="0" borderId="1" xfId="20" applyFont="1" applyBorder="1"/>
    <xf numFmtId="0" fontId="9" fillId="0" borderId="1" xfId="0" applyFont="1" applyBorder="1"/>
    <xf numFmtId="0" fontId="4" fillId="0" borderId="0" xfId="20" applyFont="1" applyAlignment="1">
      <alignment horizontal="left" wrapText="1"/>
    </xf>
    <xf numFmtId="169" fontId="4" fillId="0" borderId="1" xfId="0" applyNumberFormat="1" applyFont="1" applyBorder="1" applyAlignment="1">
      <alignment horizontal="center" vertical="center" wrapText="1"/>
    </xf>
    <xf numFmtId="0" fontId="36" fillId="0" borderId="0" xfId="0" applyFont="1"/>
    <xf numFmtId="0" fontId="29" fillId="0" borderId="1" xfId="20" applyFont="1" applyBorder="1" applyAlignment="1">
      <alignment horizontal="center" vertical="center" wrapText="1"/>
    </xf>
    <xf numFmtId="0" fontId="4" fillId="0" borderId="1" xfId="20" applyFont="1" applyBorder="1" applyAlignment="1">
      <alignment horizontal="left" vertical="center" wrapText="1"/>
    </xf>
    <xf numFmtId="167" fontId="4" fillId="0" borderId="1" xfId="20" applyNumberFormat="1" applyFont="1" applyBorder="1" applyAlignment="1">
      <alignment horizontal="center" vertical="center" wrapText="1"/>
    </xf>
    <xf numFmtId="166" fontId="4" fillId="0" borderId="1" xfId="20" applyNumberFormat="1" applyFont="1" applyBorder="1" applyAlignment="1">
      <alignment horizontal="left" vertical="center" wrapText="1"/>
    </xf>
    <xf numFmtId="166" fontId="4" fillId="0" borderId="1" xfId="20" applyNumberFormat="1" applyFont="1" applyBorder="1" applyAlignment="1">
      <alignment horizontal="center" vertical="center" wrapText="1"/>
    </xf>
    <xf numFmtId="0" fontId="40" fillId="0" borderId="1" xfId="20" applyFont="1" applyBorder="1" applyAlignment="1">
      <alignment horizontal="center" vertical="center" wrapText="1"/>
    </xf>
    <xf numFmtId="0" fontId="40" fillId="0" borderId="24" xfId="20" applyFont="1" applyBorder="1" applyAlignment="1">
      <alignment horizontal="center" vertical="center" wrapText="1"/>
    </xf>
    <xf numFmtId="169" fontId="40" fillId="0" borderId="1" xfId="20" applyNumberFormat="1" applyFont="1" applyBorder="1" applyAlignment="1">
      <alignment horizontal="center" vertical="center" wrapText="1"/>
    </xf>
    <xf numFmtId="0" fontId="40" fillId="0" borderId="2" xfId="20" applyFont="1" applyBorder="1" applyAlignment="1">
      <alignment horizontal="center" vertical="center" wrapText="1"/>
    </xf>
    <xf numFmtId="167" fontId="39" fillId="0" borderId="3" xfId="20" applyNumberFormat="1" applyFont="1" applyBorder="1" applyAlignment="1">
      <alignment horizontal="center" vertical="center" wrapText="1"/>
    </xf>
    <xf numFmtId="169" fontId="39" fillId="0" borderId="26" xfId="20" applyNumberFormat="1" applyFont="1" applyBorder="1" applyAlignment="1">
      <alignment horizontal="center" vertical="center" wrapText="1"/>
    </xf>
    <xf numFmtId="169" fontId="39" fillId="0" borderId="7" xfId="20" applyNumberFormat="1" applyFont="1" applyBorder="1" applyAlignment="1">
      <alignment horizontal="center" vertical="center" wrapText="1"/>
    </xf>
    <xf numFmtId="169" fontId="39" fillId="0" borderId="27" xfId="20" applyNumberFormat="1" applyFont="1" applyBorder="1" applyAlignment="1">
      <alignment horizontal="center" vertical="center" wrapText="1"/>
    </xf>
    <xf numFmtId="167" fontId="39" fillId="0" borderId="26" xfId="20" applyNumberFormat="1" applyFont="1" applyBorder="1" applyAlignment="1">
      <alignment horizontal="center" vertical="center" wrapText="1"/>
    </xf>
    <xf numFmtId="167" fontId="39" fillId="0" borderId="7" xfId="20" applyNumberFormat="1" applyFont="1" applyBorder="1" applyAlignment="1">
      <alignment horizontal="center" vertical="center" wrapText="1"/>
    </xf>
    <xf numFmtId="167" fontId="39" fillId="0" borderId="27" xfId="20" applyNumberFormat="1" applyFont="1" applyBorder="1" applyAlignment="1">
      <alignment horizontal="center" vertical="center" wrapText="1"/>
    </xf>
    <xf numFmtId="169" fontId="39" fillId="0" borderId="23" xfId="20" applyNumberFormat="1" applyFont="1" applyBorder="1" applyAlignment="1">
      <alignment horizontal="center" vertical="center" wrapText="1"/>
    </xf>
    <xf numFmtId="167" fontId="39" fillId="0" borderId="23" xfId="20" applyNumberFormat="1" applyFont="1" applyBorder="1" applyAlignment="1">
      <alignment horizontal="center" vertical="center" wrapText="1"/>
    </xf>
    <xf numFmtId="167" fontId="40" fillId="0" borderId="17" xfId="20" applyNumberFormat="1" applyFont="1" applyBorder="1" applyAlignment="1">
      <alignment horizontal="center" vertical="center" wrapText="1"/>
    </xf>
    <xf numFmtId="169" fontId="40" fillId="0" borderId="28" xfId="20" applyNumberFormat="1" applyFont="1" applyBorder="1" applyAlignment="1">
      <alignment horizontal="center" vertical="center" wrapText="1"/>
    </xf>
    <xf numFmtId="169" fontId="40" fillId="0" borderId="20" xfId="20" applyNumberFormat="1" applyFont="1" applyBorder="1" applyAlignment="1">
      <alignment horizontal="center" vertical="center" wrapText="1"/>
    </xf>
    <xf numFmtId="169" fontId="40" fillId="0" borderId="0" xfId="20" applyNumberFormat="1" applyFont="1" applyAlignment="1">
      <alignment horizontal="center" vertical="center" wrapText="1"/>
    </xf>
    <xf numFmtId="167" fontId="40" fillId="0" borderId="5" xfId="20" applyNumberFormat="1" applyFont="1" applyBorder="1" applyAlignment="1">
      <alignment horizontal="center" vertical="center" wrapText="1"/>
    </xf>
    <xf numFmtId="167" fontId="40" fillId="0" borderId="28" xfId="20" applyNumberFormat="1" applyFont="1" applyBorder="1" applyAlignment="1">
      <alignment horizontal="center" vertical="center" wrapText="1"/>
    </xf>
    <xf numFmtId="167" fontId="40" fillId="0" borderId="20" xfId="20" applyNumberFormat="1" applyFont="1" applyBorder="1" applyAlignment="1">
      <alignment horizontal="center" vertical="center" wrapText="1"/>
    </xf>
    <xf numFmtId="167" fontId="40" fillId="0" borderId="0" xfId="20" applyNumberFormat="1" applyFont="1" applyAlignment="1">
      <alignment horizontal="center" vertical="center" wrapText="1"/>
    </xf>
    <xf numFmtId="169" fontId="40" fillId="0" borderId="19" xfId="20" applyNumberFormat="1" applyFont="1" applyBorder="1" applyAlignment="1">
      <alignment horizontal="center" vertical="center" wrapText="1"/>
    </xf>
    <xf numFmtId="167" fontId="40" fillId="0" borderId="19" xfId="20" applyNumberFormat="1" applyFont="1" applyBorder="1" applyAlignment="1">
      <alignment horizontal="center" vertical="center" wrapText="1"/>
    </xf>
    <xf numFmtId="169" fontId="40" fillId="0" borderId="11" xfId="20" applyNumberFormat="1" applyFont="1" applyBorder="1" applyAlignment="1">
      <alignment horizontal="center" vertical="center" wrapText="1"/>
    </xf>
    <xf numFmtId="169" fontId="40" fillId="0" borderId="8" xfId="20" applyNumberFormat="1" applyFont="1" applyBorder="1" applyAlignment="1">
      <alignment horizontal="center" vertical="center" wrapText="1"/>
    </xf>
    <xf numFmtId="169" fontId="40" fillId="0" borderId="10" xfId="20" applyNumberFormat="1" applyFont="1" applyBorder="1" applyAlignment="1">
      <alignment horizontal="center" vertical="center" wrapText="1"/>
    </xf>
    <xf numFmtId="167" fontId="40" fillId="0" borderId="11" xfId="20" applyNumberFormat="1" applyFont="1" applyBorder="1" applyAlignment="1">
      <alignment horizontal="center" vertical="center" wrapText="1"/>
    </xf>
    <xf numFmtId="167" fontId="40" fillId="0" borderId="8" xfId="20" applyNumberFormat="1" applyFont="1" applyBorder="1" applyAlignment="1">
      <alignment horizontal="center" vertical="center" wrapText="1"/>
    </xf>
    <xf numFmtId="167" fontId="40" fillId="0" borderId="10" xfId="20" applyNumberFormat="1" applyFont="1" applyBorder="1" applyAlignment="1">
      <alignment horizontal="center" vertical="center" wrapText="1"/>
    </xf>
    <xf numFmtId="169" fontId="40" fillId="0" borderId="29" xfId="20" applyNumberFormat="1" applyFont="1" applyBorder="1" applyAlignment="1">
      <alignment horizontal="center" vertical="center" wrapText="1"/>
    </xf>
    <xf numFmtId="167" fontId="40" fillId="0" borderId="29" xfId="20" applyNumberFormat="1" applyFont="1" applyBorder="1" applyAlignment="1">
      <alignment horizontal="center" vertical="center" wrapText="1"/>
    </xf>
    <xf numFmtId="167" fontId="39" fillId="0" borderId="5" xfId="20" applyNumberFormat="1" applyFont="1" applyBorder="1" applyAlignment="1">
      <alignment horizontal="center" vertical="center" wrapText="1"/>
    </xf>
    <xf numFmtId="169" fontId="39" fillId="0" borderId="11" xfId="20" applyNumberFormat="1" applyFont="1" applyBorder="1" applyAlignment="1">
      <alignment horizontal="center" vertical="center" wrapText="1"/>
    </xf>
    <xf numFmtId="169" fontId="39" fillId="0" borderId="8" xfId="20" applyNumberFormat="1" applyFont="1" applyBorder="1" applyAlignment="1">
      <alignment horizontal="center" vertical="center" wrapText="1"/>
    </xf>
    <xf numFmtId="169" fontId="39" fillId="0" borderId="10" xfId="20" applyNumberFormat="1" applyFont="1" applyBorder="1" applyAlignment="1">
      <alignment horizontal="center" vertical="center" wrapText="1"/>
    </xf>
    <xf numFmtId="167" fontId="39" fillId="0" borderId="11" xfId="20" applyNumberFormat="1" applyFont="1" applyBorder="1" applyAlignment="1">
      <alignment horizontal="center" vertical="center" wrapText="1"/>
    </xf>
    <xf numFmtId="167" fontId="39" fillId="0" borderId="8" xfId="20" applyNumberFormat="1" applyFont="1" applyBorder="1" applyAlignment="1">
      <alignment horizontal="center" vertical="center" wrapText="1"/>
    </xf>
    <xf numFmtId="167" fontId="39" fillId="0" borderId="10" xfId="20" applyNumberFormat="1" applyFont="1" applyBorder="1" applyAlignment="1">
      <alignment horizontal="center" vertical="center" wrapText="1"/>
    </xf>
    <xf numFmtId="169" fontId="39" fillId="0" borderId="29" xfId="20" applyNumberFormat="1" applyFont="1" applyBorder="1" applyAlignment="1">
      <alignment horizontal="center" vertical="center" wrapText="1"/>
    </xf>
    <xf numFmtId="167" fontId="39" fillId="0" borderId="29" xfId="20" applyNumberFormat="1" applyFont="1" applyBorder="1" applyAlignment="1">
      <alignment horizontal="center" vertical="center" wrapText="1"/>
    </xf>
    <xf numFmtId="169" fontId="39" fillId="0" borderId="0" xfId="20" applyNumberFormat="1" applyFont="1" applyAlignment="1">
      <alignment horizontal="center" vertical="center" wrapText="1"/>
    </xf>
    <xf numFmtId="167" fontId="39" fillId="0" borderId="0" xfId="20" applyNumberFormat="1" applyFont="1" applyAlignment="1">
      <alignment horizontal="center" vertical="center" wrapText="1"/>
    </xf>
    <xf numFmtId="169" fontId="39" fillId="0" borderId="19" xfId="20" applyNumberFormat="1" applyFont="1" applyBorder="1" applyAlignment="1">
      <alignment horizontal="center" vertical="center" wrapText="1"/>
    </xf>
    <xf numFmtId="167" fontId="39" fillId="0" borderId="19" xfId="20" applyNumberFormat="1" applyFont="1" applyBorder="1" applyAlignment="1">
      <alignment horizontal="center" vertical="center" wrapText="1"/>
    </xf>
    <xf numFmtId="167" fontId="40" fillId="0" borderId="16" xfId="20" applyNumberFormat="1" applyFont="1" applyBorder="1" applyAlignment="1">
      <alignment horizontal="center" vertical="center" wrapText="1"/>
    </xf>
    <xf numFmtId="167" fontId="40" fillId="0" borderId="41" xfId="20" applyNumberFormat="1" applyFont="1" applyBorder="1" applyAlignment="1">
      <alignment horizontal="center" vertical="center" wrapText="1"/>
    </xf>
    <xf numFmtId="167" fontId="40" fillId="0" borderId="6" xfId="20" applyNumberFormat="1" applyFont="1" applyBorder="1" applyAlignment="1">
      <alignment horizontal="center" vertical="center" wrapText="1"/>
    </xf>
    <xf numFmtId="169" fontId="40" fillId="0" borderId="30" xfId="20" applyNumberFormat="1" applyFont="1" applyBorder="1" applyAlignment="1">
      <alignment horizontal="center" vertical="center" wrapText="1"/>
    </xf>
    <xf numFmtId="169" fontId="40" fillId="0" borderId="12" xfId="20" applyNumberFormat="1" applyFont="1" applyBorder="1" applyAlignment="1">
      <alignment horizontal="center" vertical="center" wrapText="1"/>
    </xf>
    <xf numFmtId="167" fontId="40" fillId="0" borderId="30" xfId="20" applyNumberFormat="1" applyFont="1" applyBorder="1" applyAlignment="1">
      <alignment horizontal="center" vertical="center" wrapText="1"/>
    </xf>
    <xf numFmtId="167" fontId="40" fillId="0" borderId="12" xfId="20" applyNumberFormat="1" applyFont="1" applyBorder="1" applyAlignment="1">
      <alignment horizontal="center" vertical="center" wrapText="1"/>
    </xf>
    <xf numFmtId="167" fontId="39" fillId="0" borderId="17" xfId="20" applyNumberFormat="1" applyFont="1" applyBorder="1" applyAlignment="1">
      <alignment horizontal="center" vertical="center" wrapText="1"/>
    </xf>
    <xf numFmtId="169" fontId="39" fillId="0" borderId="28" xfId="20" applyNumberFormat="1" applyFont="1" applyBorder="1" applyAlignment="1">
      <alignment horizontal="center" vertical="center" wrapText="1"/>
    </xf>
    <xf numFmtId="169" fontId="39" fillId="0" borderId="20" xfId="20" applyNumberFormat="1" applyFont="1" applyBorder="1" applyAlignment="1">
      <alignment horizontal="center" vertical="center" wrapText="1"/>
    </xf>
    <xf numFmtId="167" fontId="39" fillId="0" borderId="28" xfId="20" applyNumberFormat="1" applyFont="1" applyBorder="1" applyAlignment="1">
      <alignment horizontal="center" vertical="center" wrapText="1"/>
    </xf>
    <xf numFmtId="167" fontId="39" fillId="0" borderId="20" xfId="20" applyNumberFormat="1" applyFont="1" applyBorder="1" applyAlignment="1">
      <alignment horizontal="center" vertical="center" wrapText="1"/>
    </xf>
    <xf numFmtId="167" fontId="40" fillId="2" borderId="5" xfId="20" applyNumberFormat="1" applyFont="1" applyFill="1" applyBorder="1" applyAlignment="1">
      <alignment horizontal="center" vertical="center" wrapText="1"/>
    </xf>
    <xf numFmtId="167" fontId="39" fillId="0" borderId="6" xfId="20" applyNumberFormat="1" applyFont="1" applyBorder="1" applyAlignment="1">
      <alignment horizontal="center" vertical="center" wrapText="1"/>
    </xf>
    <xf numFmtId="169" fontId="39" fillId="0" borderId="30" xfId="20" applyNumberFormat="1" applyFont="1" applyBorder="1" applyAlignment="1">
      <alignment horizontal="center" vertical="center" wrapText="1"/>
    </xf>
    <xf numFmtId="169" fontId="39" fillId="0" borderId="12" xfId="20" applyNumberFormat="1" applyFont="1" applyBorder="1" applyAlignment="1">
      <alignment horizontal="center" vertical="center" wrapText="1"/>
    </xf>
    <xf numFmtId="167" fontId="39" fillId="0" borderId="30" xfId="20" applyNumberFormat="1" applyFont="1" applyBorder="1" applyAlignment="1">
      <alignment horizontal="center" vertical="center" wrapText="1"/>
    </xf>
    <xf numFmtId="167" fontId="39" fillId="0" borderId="12" xfId="20" applyNumberFormat="1" applyFont="1" applyBorder="1" applyAlignment="1">
      <alignment horizontal="center" vertical="center" wrapText="1"/>
    </xf>
    <xf numFmtId="169" fontId="40" fillId="0" borderId="18" xfId="20" applyNumberFormat="1" applyFont="1" applyBorder="1" applyAlignment="1">
      <alignment horizontal="center" vertical="center" wrapText="1"/>
    </xf>
    <xf numFmtId="167" fontId="40" fillId="0" borderId="18" xfId="20" applyNumberFormat="1" applyFont="1" applyBorder="1" applyAlignment="1">
      <alignment horizontal="center" vertical="center" wrapText="1"/>
    </xf>
    <xf numFmtId="169" fontId="40" fillId="0" borderId="31" xfId="20" applyNumberFormat="1" applyFont="1" applyBorder="1" applyAlignment="1">
      <alignment horizontal="center" vertical="center" wrapText="1"/>
    </xf>
    <xf numFmtId="167" fontId="40" fillId="0" borderId="31" xfId="20" applyNumberFormat="1" applyFont="1" applyBorder="1" applyAlignment="1">
      <alignment horizontal="center" vertical="center" wrapText="1"/>
    </xf>
    <xf numFmtId="167" fontId="39" fillId="0" borderId="16" xfId="20" applyNumberFormat="1" applyFont="1" applyBorder="1" applyAlignment="1">
      <alignment horizontal="center" vertical="center" wrapText="1"/>
    </xf>
    <xf numFmtId="167" fontId="39" fillId="0" borderId="44" xfId="20" applyNumberFormat="1" applyFont="1" applyBorder="1" applyAlignment="1">
      <alignment horizontal="center" vertical="center" wrapText="1"/>
    </xf>
    <xf numFmtId="0" fontId="41" fillId="0" borderId="17" xfId="20" applyFont="1" applyBorder="1" applyAlignment="1">
      <alignment vertical="center"/>
    </xf>
    <xf numFmtId="169" fontId="40" fillId="0" borderId="9" xfId="20" applyNumberFormat="1" applyFont="1" applyBorder="1" applyAlignment="1">
      <alignment horizontal="center" vertical="center" wrapText="1"/>
    </xf>
    <xf numFmtId="167" fontId="40" fillId="0" borderId="9" xfId="20" applyNumberFormat="1" applyFont="1" applyBorder="1" applyAlignment="1">
      <alignment horizontal="center" vertical="center" wrapText="1"/>
    </xf>
    <xf numFmtId="169" fontId="40" fillId="0" borderId="32" xfId="20" applyNumberFormat="1" applyFont="1" applyBorder="1" applyAlignment="1">
      <alignment horizontal="center" vertical="center" wrapText="1"/>
    </xf>
    <xf numFmtId="167" fontId="40" fillId="0" borderId="32" xfId="20" applyNumberFormat="1" applyFont="1" applyBorder="1" applyAlignment="1">
      <alignment horizontal="center" vertical="center" wrapText="1"/>
    </xf>
    <xf numFmtId="169" fontId="39" fillId="0" borderId="18" xfId="20" applyNumberFormat="1" applyFont="1" applyBorder="1" applyAlignment="1">
      <alignment horizontal="center" vertical="center" wrapText="1"/>
    </xf>
    <xf numFmtId="167" fontId="39" fillId="0" borderId="18" xfId="20" applyNumberFormat="1" applyFont="1" applyBorder="1" applyAlignment="1">
      <alignment horizontal="center" vertical="center" wrapText="1"/>
    </xf>
    <xf numFmtId="169" fontId="39" fillId="0" borderId="31" xfId="20" applyNumberFormat="1" applyFont="1" applyBorder="1" applyAlignment="1">
      <alignment horizontal="center" vertical="center" wrapText="1"/>
    </xf>
    <xf numFmtId="167" fontId="39" fillId="0" borderId="31" xfId="20" applyNumberFormat="1" applyFont="1" applyBorder="1" applyAlignment="1">
      <alignment horizontal="center" vertical="center" wrapText="1"/>
    </xf>
    <xf numFmtId="167" fontId="40" fillId="0" borderId="4" xfId="20" applyNumberFormat="1" applyFont="1" applyBorder="1" applyAlignment="1">
      <alignment horizontal="center" vertical="center" wrapText="1"/>
    </xf>
    <xf numFmtId="169" fontId="40" fillId="0" borderId="33" xfId="20" applyNumberFormat="1" applyFont="1" applyBorder="1" applyAlignment="1">
      <alignment horizontal="center" vertical="center" wrapText="1"/>
    </xf>
    <xf numFmtId="169" fontId="40" fillId="0" borderId="34" xfId="20" applyNumberFormat="1" applyFont="1" applyBorder="1" applyAlignment="1">
      <alignment horizontal="center" vertical="center" wrapText="1"/>
    </xf>
    <xf numFmtId="169" fontId="40" fillId="0" borderId="25" xfId="20" applyNumberFormat="1" applyFont="1" applyBorder="1" applyAlignment="1">
      <alignment horizontal="center" vertical="center" wrapText="1"/>
    </xf>
    <xf numFmtId="167" fontId="40" fillId="0" borderId="14" xfId="20" applyNumberFormat="1" applyFont="1" applyBorder="1" applyAlignment="1">
      <alignment horizontal="center" vertical="center" wrapText="1"/>
    </xf>
    <xf numFmtId="167" fontId="40" fillId="0" borderId="33" xfId="20" applyNumberFormat="1" applyFont="1" applyBorder="1" applyAlignment="1">
      <alignment horizontal="center" vertical="center" wrapText="1"/>
    </xf>
    <xf numFmtId="167" fontId="40" fillId="0" borderId="34" xfId="20" applyNumberFormat="1" applyFont="1" applyBorder="1" applyAlignment="1">
      <alignment horizontal="center" vertical="center" wrapText="1"/>
    </xf>
    <xf numFmtId="167" fontId="40" fillId="0" borderId="25" xfId="20" applyNumberFormat="1" applyFont="1" applyBorder="1" applyAlignment="1">
      <alignment horizontal="center" vertical="center" wrapText="1"/>
    </xf>
    <xf numFmtId="167" fontId="40" fillId="0" borderId="38" xfId="20" applyNumberFormat="1" applyFont="1" applyBorder="1" applyAlignment="1">
      <alignment horizontal="center" vertical="center" wrapText="1"/>
    </xf>
    <xf numFmtId="167" fontId="40" fillId="0" borderId="35" xfId="20" applyNumberFormat="1" applyFont="1" applyBorder="1" applyAlignment="1">
      <alignment horizontal="center" vertical="center" wrapText="1"/>
    </xf>
    <xf numFmtId="167" fontId="40" fillId="0" borderId="13" xfId="20" applyNumberFormat="1" applyFont="1" applyBorder="1" applyAlignment="1">
      <alignment horizontal="center" vertical="center" wrapText="1"/>
    </xf>
    <xf numFmtId="167" fontId="40" fillId="0" borderId="21" xfId="20" applyNumberFormat="1" applyFont="1" applyBorder="1" applyAlignment="1">
      <alignment horizontal="center" vertical="center" wrapText="1"/>
    </xf>
    <xf numFmtId="167" fontId="40" fillId="0" borderId="42" xfId="20" applyNumberFormat="1" applyFont="1" applyBorder="1" applyAlignment="1">
      <alignment horizontal="center" vertical="center" wrapText="1"/>
    </xf>
    <xf numFmtId="167" fontId="40" fillId="0" borderId="43" xfId="20" applyNumberFormat="1" applyFont="1" applyBorder="1" applyAlignment="1">
      <alignment horizontal="center" vertical="center" wrapText="1"/>
    </xf>
    <xf numFmtId="167" fontId="40" fillId="0" borderId="36" xfId="20" applyNumberFormat="1" applyFont="1" applyBorder="1" applyAlignment="1">
      <alignment horizontal="center" vertical="center" wrapText="1"/>
    </xf>
    <xf numFmtId="0" fontId="29" fillId="0" borderId="4" xfId="2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66" fontId="4" fillId="0" borderId="1" xfId="0" applyNumberFormat="1" applyFont="1" applyBorder="1" applyAlignment="1">
      <alignment vertical="center" wrapText="1"/>
    </xf>
    <xf numFmtId="0" fontId="4" fillId="0" borderId="1" xfId="26" applyFont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2" fontId="5" fillId="0" borderId="1" xfId="20" applyNumberFormat="1" applyFont="1" applyBorder="1" applyAlignment="1">
      <alignment horizontal="center" vertical="center" wrapText="1"/>
    </xf>
    <xf numFmtId="0" fontId="5" fillId="0" borderId="0" xfId="20" applyFont="1" applyAlignment="1">
      <alignment vertical="center" wrapText="1"/>
    </xf>
    <xf numFmtId="4" fontId="4" fillId="0" borderId="2" xfId="20" applyNumberFormat="1" applyFont="1" applyBorder="1" applyAlignment="1">
      <alignment horizontal="center" vertical="center" wrapText="1"/>
    </xf>
    <xf numFmtId="0" fontId="4" fillId="0" borderId="17" xfId="20" applyFont="1" applyBorder="1" applyAlignment="1">
      <alignment horizontal="center" vertical="center" wrapText="1"/>
    </xf>
    <xf numFmtId="4" fontId="4" fillId="0" borderId="1" xfId="20" applyNumberFormat="1" applyFont="1" applyBorder="1" applyAlignment="1">
      <alignment vertical="center" wrapText="1"/>
    </xf>
    <xf numFmtId="0" fontId="4" fillId="0" borderId="45" xfId="20" applyFont="1" applyBorder="1" applyAlignment="1">
      <alignment horizontal="center" vertical="center" wrapText="1"/>
    </xf>
    <xf numFmtId="0" fontId="8" fillId="0" borderId="24" xfId="24" applyFont="1" applyBorder="1" applyAlignment="1">
      <alignment vertical="top" wrapText="1"/>
    </xf>
    <xf numFmtId="0" fontId="4" fillId="0" borderId="2" xfId="20" applyFont="1" applyBorder="1" applyAlignment="1">
      <alignment vertical="center" wrapText="1"/>
    </xf>
    <xf numFmtId="0" fontId="4" fillId="0" borderId="4" xfId="20" applyFont="1" applyBorder="1" applyAlignment="1">
      <alignment vertical="center" wrapText="1"/>
    </xf>
    <xf numFmtId="0" fontId="8" fillId="0" borderId="24" xfId="24" applyFont="1" applyBorder="1" applyAlignment="1">
      <alignment vertical="center" wrapText="1"/>
    </xf>
    <xf numFmtId="0" fontId="8" fillId="0" borderId="24" xfId="24" applyFont="1" applyBorder="1" applyAlignment="1">
      <alignment horizontal="left" vertical="center" wrapText="1"/>
    </xf>
    <xf numFmtId="0" fontId="4" fillId="0" borderId="24" xfId="20" applyFont="1" applyBorder="1" applyAlignment="1">
      <alignment vertical="center" wrapText="1"/>
    </xf>
    <xf numFmtId="0" fontId="5" fillId="2" borderId="1" xfId="20" applyFont="1" applyFill="1" applyBorder="1" applyAlignment="1">
      <alignment horizontal="center" vertical="center" wrapText="1"/>
    </xf>
    <xf numFmtId="0" fontId="4" fillId="2" borderId="1" xfId="20" applyFont="1" applyFill="1" applyBorder="1" applyAlignment="1">
      <alignment horizontal="center" vertical="center" wrapText="1"/>
    </xf>
    <xf numFmtId="2" fontId="4" fillId="2" borderId="1" xfId="20" applyNumberFormat="1" applyFont="1" applyFill="1" applyBorder="1" applyAlignment="1">
      <alignment horizontal="center" vertical="center" wrapText="1"/>
    </xf>
    <xf numFmtId="166" fontId="4" fillId="2" borderId="1" xfId="20" applyNumberFormat="1" applyFont="1" applyFill="1" applyBorder="1" applyAlignment="1">
      <alignment horizontal="center" vertical="center" wrapText="1"/>
    </xf>
    <xf numFmtId="0" fontId="5" fillId="2" borderId="1" xfId="20" applyFont="1" applyFill="1" applyBorder="1" applyAlignment="1">
      <alignment horizontal="left" vertical="center" wrapText="1"/>
    </xf>
    <xf numFmtId="0" fontId="4" fillId="2" borderId="1" xfId="20" applyFont="1" applyFill="1" applyBorder="1" applyAlignment="1">
      <alignment horizontal="left" vertical="center" wrapText="1"/>
    </xf>
    <xf numFmtId="166" fontId="4" fillId="2" borderId="25" xfId="20" applyNumberFormat="1" applyFont="1" applyFill="1" applyBorder="1" applyAlignment="1">
      <alignment horizontal="center" vertical="center" wrapText="1"/>
    </xf>
    <xf numFmtId="166" fontId="5" fillId="2" borderId="1" xfId="20" applyNumberFormat="1" applyFont="1" applyFill="1" applyBorder="1" applyAlignment="1">
      <alignment horizontal="center" vertical="center" wrapText="1"/>
    </xf>
    <xf numFmtId="0" fontId="29" fillId="0" borderId="17" xfId="20" applyFont="1" applyBorder="1" applyAlignment="1">
      <alignment horizontal="center" vertical="center" wrapText="1"/>
    </xf>
    <xf numFmtId="0" fontId="8" fillId="0" borderId="24" xfId="24" applyFont="1" applyBorder="1" applyAlignment="1">
      <alignment horizontal="justify" vertical="top" wrapText="1"/>
    </xf>
    <xf numFmtId="0" fontId="8" fillId="0" borderId="37" xfId="24" applyFont="1" applyBorder="1" applyAlignment="1">
      <alignment horizontal="justify" vertical="top" wrapText="1"/>
    </xf>
    <xf numFmtId="4" fontId="5" fillId="2" borderId="1" xfId="20" applyNumberFormat="1" applyFont="1" applyFill="1" applyBorder="1" applyAlignment="1">
      <alignment horizontal="center" vertical="center" wrapText="1"/>
    </xf>
    <xf numFmtId="4" fontId="4" fillId="2" borderId="1" xfId="20" applyNumberFormat="1" applyFont="1" applyFill="1" applyBorder="1" applyAlignment="1">
      <alignment horizontal="center" vertical="center" wrapText="1"/>
    </xf>
    <xf numFmtId="2" fontId="5" fillId="2" borderId="1" xfId="20" applyNumberFormat="1" applyFont="1" applyFill="1" applyBorder="1" applyAlignment="1">
      <alignment horizontal="center" vertical="center" wrapText="1"/>
    </xf>
    <xf numFmtId="0" fontId="5" fillId="2" borderId="1" xfId="20" applyFont="1" applyFill="1" applyBorder="1" applyAlignment="1">
      <alignment vertical="center" wrapText="1"/>
    </xf>
    <xf numFmtId="0" fontId="4" fillId="2" borderId="1" xfId="20" applyFont="1" applyFill="1" applyBorder="1" applyAlignment="1">
      <alignment vertical="center" wrapText="1"/>
    </xf>
    <xf numFmtId="16" fontId="4" fillId="2" borderId="1" xfId="20" applyNumberFormat="1" applyFont="1" applyFill="1" applyBorder="1" applyAlignment="1">
      <alignment horizontal="center" vertical="center" wrapText="1"/>
    </xf>
    <xf numFmtId="0" fontId="8" fillId="0" borderId="1" xfId="24" applyFont="1" applyBorder="1" applyAlignment="1">
      <alignment horizontal="center" vertical="center" wrapText="1"/>
    </xf>
    <xf numFmtId="166" fontId="4" fillId="0" borderId="1" xfId="20" applyNumberFormat="1" applyFont="1" applyBorder="1" applyAlignment="1">
      <alignment vertical="top" wrapText="1"/>
    </xf>
    <xf numFmtId="0" fontId="8" fillId="2" borderId="1" xfId="24" applyFont="1" applyFill="1" applyBorder="1" applyAlignment="1">
      <alignment horizontal="justify" vertical="top" wrapText="1"/>
    </xf>
    <xf numFmtId="167" fontId="5" fillId="2" borderId="1" xfId="20" applyNumberFormat="1" applyFont="1" applyFill="1" applyBorder="1" applyAlignment="1">
      <alignment horizontal="center" vertical="center" wrapText="1"/>
    </xf>
    <xf numFmtId="167" fontId="4" fillId="2" borderId="1" xfId="20" applyNumberFormat="1" applyFont="1" applyFill="1" applyBorder="1" applyAlignment="1">
      <alignment horizontal="center" vertical="center" wrapText="1"/>
    </xf>
    <xf numFmtId="166" fontId="4" fillId="2" borderId="1" xfId="20" applyNumberFormat="1" applyFont="1" applyFill="1" applyBorder="1" applyAlignment="1">
      <alignment horizontal="left" vertical="top" wrapText="1"/>
    </xf>
    <xf numFmtId="2" fontId="4" fillId="2" borderId="1" xfId="20" applyNumberFormat="1" applyFont="1" applyFill="1" applyBorder="1" applyAlignment="1">
      <alignment vertical="center" wrapText="1"/>
    </xf>
    <xf numFmtId="4" fontId="4" fillId="2" borderId="1" xfId="20" applyNumberFormat="1" applyFont="1" applyFill="1" applyBorder="1" applyAlignment="1">
      <alignment vertical="center" wrapText="1"/>
    </xf>
    <xf numFmtId="0" fontId="10" fillId="2" borderId="1" xfId="24" applyFont="1" applyFill="1" applyBorder="1" applyAlignment="1">
      <alignment horizontal="justify" vertical="top" wrapText="1"/>
    </xf>
    <xf numFmtId="0" fontId="9" fillId="2" borderId="1" xfId="19" applyFont="1" applyFill="1" applyBorder="1"/>
    <xf numFmtId="166" fontId="4" fillId="2" borderId="1" xfId="20" applyNumberFormat="1" applyFont="1" applyFill="1" applyBorder="1" applyAlignment="1">
      <alignment vertical="top" wrapText="1"/>
    </xf>
    <xf numFmtId="2" fontId="29" fillId="0" borderId="3" xfId="19" applyNumberFormat="1" applyFont="1" applyBorder="1" applyAlignment="1">
      <alignment horizontal="center"/>
    </xf>
    <xf numFmtId="2" fontId="8" fillId="0" borderId="3" xfId="19" applyNumberFormat="1" applyFont="1" applyBorder="1" applyAlignment="1">
      <alignment horizontal="center"/>
    </xf>
    <xf numFmtId="2" fontId="9" fillId="0" borderId="27" xfId="19" applyNumberFormat="1" applyFont="1" applyBorder="1"/>
    <xf numFmtId="2" fontId="29" fillId="0" borderId="5" xfId="19" applyNumberFormat="1" applyFont="1" applyBorder="1" applyAlignment="1">
      <alignment horizontal="center"/>
    </xf>
    <xf numFmtId="2" fontId="8" fillId="0" borderId="5" xfId="19" applyNumberFormat="1" applyFont="1" applyBorder="1" applyAlignment="1">
      <alignment horizontal="center"/>
    </xf>
    <xf numFmtId="2" fontId="9" fillId="0" borderId="41" xfId="19" applyNumberFormat="1" applyFont="1" applyBorder="1"/>
    <xf numFmtId="2" fontId="29" fillId="0" borderId="14" xfId="19" applyNumberFormat="1" applyFont="1" applyBorder="1" applyAlignment="1">
      <alignment horizontal="center"/>
    </xf>
    <xf numFmtId="2" fontId="8" fillId="0" borderId="14" xfId="19" applyNumberFormat="1" applyFont="1" applyBorder="1" applyAlignment="1">
      <alignment horizontal="center"/>
    </xf>
    <xf numFmtId="2" fontId="9" fillId="0" borderId="42" xfId="19" applyNumberFormat="1" applyFont="1" applyBorder="1"/>
    <xf numFmtId="4" fontId="8" fillId="0" borderId="3" xfId="19" applyNumberFormat="1" applyFont="1" applyBorder="1" applyAlignment="1">
      <alignment horizontal="center"/>
    </xf>
    <xf numFmtId="4" fontId="8" fillId="0" borderId="5" xfId="19" applyNumberFormat="1" applyFont="1" applyBorder="1" applyAlignment="1">
      <alignment horizontal="center"/>
    </xf>
    <xf numFmtId="4" fontId="8" fillId="0" borderId="14" xfId="19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8" fontId="4" fillId="0" borderId="5" xfId="0" applyNumberFormat="1" applyFont="1" applyBorder="1" applyAlignment="1">
      <alignment horizontal="center" vertical="center" wrapText="1"/>
    </xf>
    <xf numFmtId="168" fontId="4" fillId="2" borderId="5" xfId="0" applyNumberFormat="1" applyFont="1" applyFill="1" applyBorder="1" applyAlignment="1">
      <alignment horizontal="center" vertical="center" wrapText="1"/>
    </xf>
    <xf numFmtId="166" fontId="4" fillId="0" borderId="46" xfId="0" applyNumberFormat="1" applyFont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 vertical="center" wrapText="1"/>
    </xf>
    <xf numFmtId="166" fontId="4" fillId="0" borderId="14" xfId="0" applyNumberFormat="1" applyFont="1" applyBorder="1" applyAlignment="1">
      <alignment horizontal="center" vertical="center" wrapText="1"/>
    </xf>
    <xf numFmtId="166" fontId="4" fillId="2" borderId="14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8" fontId="4" fillId="3" borderId="1" xfId="0" applyNumberFormat="1" applyFont="1" applyFill="1" applyBorder="1" applyAlignment="1">
      <alignment horizontal="center" vertical="center" wrapText="1"/>
    </xf>
    <xf numFmtId="168" fontId="29" fillId="3" borderId="1" xfId="0" applyNumberFormat="1" applyFont="1" applyFill="1" applyBorder="1" applyAlignment="1">
      <alignment horizontal="center" vertical="center" wrapText="1"/>
    </xf>
    <xf numFmtId="0" fontId="35" fillId="2" borderId="37" xfId="0" applyFont="1" applyFill="1" applyBorder="1" applyAlignment="1">
      <alignment vertical="center" wrapText="1"/>
    </xf>
    <xf numFmtId="0" fontId="35" fillId="2" borderId="22" xfId="0" applyFont="1" applyFill="1" applyBorder="1" applyAlignment="1">
      <alignment vertical="center" wrapText="1"/>
    </xf>
    <xf numFmtId="0" fontId="42" fillId="0" borderId="0" xfId="30" applyFont="1" applyAlignment="1">
      <alignment horizontal="center"/>
    </xf>
    <xf numFmtId="0" fontId="8" fillId="0" borderId="25" xfId="30" applyFont="1" applyBorder="1" applyAlignment="1">
      <alignment horizontal="right"/>
    </xf>
    <xf numFmtId="0" fontId="8" fillId="0" borderId="0" xfId="30" applyFont="1" applyAlignment="1">
      <alignment horizontal="center"/>
    </xf>
    <xf numFmtId="0" fontId="10" fillId="0" borderId="0" xfId="30" applyFont="1" applyAlignment="1">
      <alignment horizontal="center"/>
    </xf>
    <xf numFmtId="0" fontId="14" fillId="0" borderId="0" xfId="20" applyFont="1" applyAlignment="1">
      <alignment horizontal="center" wrapText="1"/>
    </xf>
    <xf numFmtId="0" fontId="4" fillId="0" borderId="0" xfId="20" applyFont="1" applyAlignment="1">
      <alignment horizontal="center"/>
    </xf>
    <xf numFmtId="0" fontId="14" fillId="0" borderId="0" xfId="20" applyFont="1" applyAlignment="1">
      <alignment horizontal="center"/>
    </xf>
    <xf numFmtId="0" fontId="5" fillId="0" borderId="25" xfId="20" applyFont="1" applyBorder="1" applyAlignment="1">
      <alignment horizontal="left" vertical="center" wrapText="1"/>
    </xf>
    <xf numFmtId="0" fontId="41" fillId="0" borderId="24" xfId="20" applyFont="1" applyBorder="1" applyAlignment="1">
      <alignment horizontal="center" vertical="top"/>
    </xf>
    <xf numFmtId="0" fontId="41" fillId="0" borderId="37" xfId="20" applyFont="1" applyBorder="1" applyAlignment="1">
      <alignment horizontal="center" vertical="top"/>
    </xf>
    <xf numFmtId="0" fontId="41" fillId="0" borderId="22" xfId="20" applyFont="1" applyBorder="1" applyAlignment="1">
      <alignment horizontal="center" vertical="top"/>
    </xf>
    <xf numFmtId="0" fontId="40" fillId="0" borderId="24" xfId="20" applyFont="1" applyBorder="1" applyAlignment="1">
      <alignment horizontal="center" vertical="center" wrapText="1"/>
    </xf>
    <xf numFmtId="0" fontId="40" fillId="0" borderId="37" xfId="20" applyFont="1" applyBorder="1" applyAlignment="1">
      <alignment horizontal="center" vertical="center" wrapText="1"/>
    </xf>
    <xf numFmtId="0" fontId="40" fillId="0" borderId="22" xfId="20" applyFont="1" applyBorder="1" applyAlignment="1">
      <alignment horizontal="center" vertical="center" wrapText="1"/>
    </xf>
    <xf numFmtId="0" fontId="40" fillId="0" borderId="15" xfId="20" applyFont="1" applyBorder="1" applyAlignment="1">
      <alignment horizontal="center" vertical="center" wrapText="1"/>
    </xf>
    <xf numFmtId="0" fontId="40" fillId="0" borderId="0" xfId="20" applyFont="1" applyAlignment="1">
      <alignment horizontal="center" vertical="center" wrapText="1"/>
    </xf>
    <xf numFmtId="0" fontId="40" fillId="0" borderId="19" xfId="20" applyFont="1" applyBorder="1" applyAlignment="1">
      <alignment horizontal="center" vertical="center" wrapText="1"/>
    </xf>
    <xf numFmtId="0" fontId="41" fillId="3" borderId="24" xfId="20" applyFont="1" applyFill="1" applyBorder="1" applyAlignment="1">
      <alignment horizontal="center" vertical="top"/>
    </xf>
    <xf numFmtId="0" fontId="41" fillId="3" borderId="37" xfId="20" applyFont="1" applyFill="1" applyBorder="1" applyAlignment="1">
      <alignment horizontal="center" vertical="top"/>
    </xf>
    <xf numFmtId="0" fontId="41" fillId="3" borderId="22" xfId="20" applyFont="1" applyFill="1" applyBorder="1" applyAlignment="1">
      <alignment horizontal="center" vertical="top"/>
    </xf>
    <xf numFmtId="0" fontId="15" fillId="0" borderId="2" xfId="20" applyFont="1" applyBorder="1" applyAlignment="1">
      <alignment horizontal="center" vertical="center" wrapText="1"/>
    </xf>
    <xf numFmtId="0" fontId="15" fillId="0" borderId="17" xfId="20" applyFont="1" applyBorder="1" applyAlignment="1">
      <alignment horizontal="center" vertical="center" wrapText="1"/>
    </xf>
    <xf numFmtId="0" fontId="15" fillId="0" borderId="4" xfId="20" applyFont="1" applyBorder="1" applyAlignment="1">
      <alignment horizontal="center" vertical="center" wrapText="1"/>
    </xf>
    <xf numFmtId="0" fontId="15" fillId="0" borderId="1" xfId="20" applyFont="1" applyBorder="1" applyAlignment="1">
      <alignment horizontal="center" vertical="center" wrapText="1"/>
    </xf>
    <xf numFmtId="0" fontId="39" fillId="0" borderId="24" xfId="20" applyFont="1" applyBorder="1" applyAlignment="1">
      <alignment horizontal="center" vertical="center" wrapText="1"/>
    </xf>
    <xf numFmtId="0" fontId="39" fillId="0" borderId="37" xfId="20" applyFont="1" applyBorder="1" applyAlignment="1">
      <alignment horizontal="center" vertical="center" wrapText="1"/>
    </xf>
    <xf numFmtId="0" fontId="39" fillId="0" borderId="22" xfId="20" applyFont="1" applyBorder="1" applyAlignment="1">
      <alignment horizontal="center" vertical="center" wrapText="1"/>
    </xf>
    <xf numFmtId="0" fontId="41" fillId="0" borderId="1" xfId="20" applyFont="1" applyBorder="1" applyAlignment="1">
      <alignment horizontal="center" vertical="top"/>
    </xf>
    <xf numFmtId="0" fontId="40" fillId="0" borderId="1" xfId="20" applyFont="1" applyBorder="1" applyAlignment="1">
      <alignment horizontal="center" vertical="center" wrapText="1"/>
    </xf>
    <xf numFmtId="0" fontId="41" fillId="3" borderId="1" xfId="20" applyFont="1" applyFill="1" applyBorder="1" applyAlignment="1">
      <alignment horizontal="center" vertical="top"/>
    </xf>
    <xf numFmtId="0" fontId="4" fillId="0" borderId="24" xfId="20" applyFont="1" applyBorder="1" applyAlignment="1">
      <alignment horizontal="center" vertical="center"/>
    </xf>
    <xf numFmtId="0" fontId="4" fillId="0" borderId="37" xfId="20" applyFont="1" applyBorder="1" applyAlignment="1">
      <alignment horizontal="center" vertical="center"/>
    </xf>
    <xf numFmtId="166" fontId="4" fillId="0" borderId="1" xfId="20" applyNumberFormat="1" applyFont="1" applyBorder="1" applyAlignment="1">
      <alignment horizontal="left" vertical="center" wrapText="1"/>
    </xf>
    <xf numFmtId="0" fontId="5" fillId="4" borderId="24" xfId="20" applyFont="1" applyFill="1" applyBorder="1" applyAlignment="1">
      <alignment horizontal="center" vertical="center" wrapText="1"/>
    </xf>
    <xf numFmtId="0" fontId="5" fillId="4" borderId="37" xfId="20" applyFont="1" applyFill="1" applyBorder="1" applyAlignment="1">
      <alignment horizontal="center" vertical="center" wrapText="1"/>
    </xf>
    <xf numFmtId="0" fontId="5" fillId="4" borderId="22" xfId="20" applyFont="1" applyFill="1" applyBorder="1" applyAlignment="1">
      <alignment horizontal="center" vertical="center" wrapText="1"/>
    </xf>
    <xf numFmtId="0" fontId="4" fillId="0" borderId="2" xfId="20" applyFont="1" applyBorder="1" applyAlignment="1">
      <alignment horizontal="center" vertical="center" wrapText="1"/>
    </xf>
    <xf numFmtId="0" fontId="4" fillId="0" borderId="17" xfId="20" applyFont="1" applyBorder="1" applyAlignment="1">
      <alignment horizontal="center" vertical="center" wrapText="1"/>
    </xf>
    <xf numFmtId="0" fontId="4" fillId="0" borderId="4" xfId="20" applyFont="1" applyBorder="1" applyAlignment="1">
      <alignment horizontal="center" vertical="center" wrapText="1"/>
    </xf>
    <xf numFmtId="166" fontId="4" fillId="0" borderId="2" xfId="20" applyNumberFormat="1" applyFont="1" applyBorder="1" applyAlignment="1">
      <alignment horizontal="left" vertical="center" wrapText="1"/>
    </xf>
    <xf numFmtId="166" fontId="4" fillId="0" borderId="17" xfId="20" applyNumberFormat="1" applyFont="1" applyBorder="1" applyAlignment="1">
      <alignment horizontal="left" vertical="center" wrapText="1"/>
    </xf>
    <xf numFmtId="166" fontId="4" fillId="0" borderId="4" xfId="20" applyNumberFormat="1" applyFont="1" applyBorder="1" applyAlignment="1">
      <alignment horizontal="left" vertical="center" wrapText="1"/>
    </xf>
    <xf numFmtId="0" fontId="5" fillId="0" borderId="24" xfId="20" applyFont="1" applyBorder="1" applyAlignment="1">
      <alignment horizontal="left" vertical="center" wrapText="1"/>
    </xf>
    <xf numFmtId="0" fontId="5" fillId="0" borderId="22" xfId="20" applyFont="1" applyBorder="1" applyAlignment="1">
      <alignment horizontal="left" vertical="center" wrapText="1"/>
    </xf>
    <xf numFmtId="0" fontId="4" fillId="2" borderId="1" xfId="20" applyFont="1" applyFill="1" applyBorder="1" applyAlignment="1">
      <alignment horizontal="center" vertical="center" wrapText="1"/>
    </xf>
    <xf numFmtId="0" fontId="4" fillId="2" borderId="2" xfId="20" applyFont="1" applyFill="1" applyBorder="1" applyAlignment="1">
      <alignment horizontal="center" vertical="center" wrapText="1"/>
    </xf>
    <xf numFmtId="0" fontId="4" fillId="2" borderId="17" xfId="20" applyFont="1" applyFill="1" applyBorder="1" applyAlignment="1">
      <alignment horizontal="center" vertical="center" wrapText="1"/>
    </xf>
    <xf numFmtId="0" fontId="4" fillId="2" borderId="4" xfId="20" applyFont="1" applyFill="1" applyBorder="1" applyAlignment="1">
      <alignment horizontal="center" vertical="center" wrapText="1"/>
    </xf>
    <xf numFmtId="167" fontId="4" fillId="0" borderId="2" xfId="20" applyNumberFormat="1" applyFont="1" applyBorder="1" applyAlignment="1">
      <alignment horizontal="center" vertical="center" wrapText="1"/>
    </xf>
    <xf numFmtId="167" fontId="4" fillId="0" borderId="17" xfId="20" applyNumberFormat="1" applyFont="1" applyBorder="1" applyAlignment="1">
      <alignment horizontal="center" vertical="center" wrapText="1"/>
    </xf>
    <xf numFmtId="167" fontId="4" fillId="0" borderId="4" xfId="20" applyNumberFormat="1" applyFont="1" applyBorder="1" applyAlignment="1">
      <alignment horizontal="center" vertical="center" wrapText="1"/>
    </xf>
    <xf numFmtId="0" fontId="10" fillId="0" borderId="0" xfId="19" applyFont="1" applyAlignment="1">
      <alignment horizontal="left" vertical="center" wrapText="1"/>
    </xf>
    <xf numFmtId="0" fontId="10" fillId="0" borderId="25" xfId="19" applyFont="1" applyBorder="1" applyAlignment="1">
      <alignment horizontal="left" vertical="center" wrapText="1"/>
    </xf>
    <xf numFmtId="0" fontId="4" fillId="0" borderId="1" xfId="20" applyFont="1" applyBorder="1" applyAlignment="1">
      <alignment horizontal="center" vertical="center" wrapText="1"/>
    </xf>
    <xf numFmtId="0" fontId="10" fillId="0" borderId="1" xfId="1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0" borderId="0" xfId="20" applyFont="1" applyAlignment="1">
      <alignment horizontal="left" wrapText="1"/>
    </xf>
    <xf numFmtId="0" fontId="4" fillId="0" borderId="39" xfId="20" applyFont="1" applyBorder="1" applyAlignment="1">
      <alignment horizontal="center" vertical="center" wrapText="1"/>
    </xf>
    <xf numFmtId="0" fontId="4" fillId="0" borderId="36" xfId="20" applyFont="1" applyBorder="1" applyAlignment="1">
      <alignment horizontal="center" vertical="center" wrapText="1"/>
    </xf>
    <xf numFmtId="0" fontId="10" fillId="0" borderId="36" xfId="19" applyFont="1" applyBorder="1" applyAlignment="1">
      <alignment horizontal="left" vertical="center" wrapText="1"/>
    </xf>
    <xf numFmtId="0" fontId="4" fillId="0" borderId="40" xfId="20" applyFont="1" applyBorder="1" applyAlignment="1">
      <alignment horizontal="left" wrapText="1"/>
    </xf>
    <xf numFmtId="0" fontId="4" fillId="0" borderId="39" xfId="20" applyFont="1" applyBorder="1" applyAlignment="1">
      <alignment horizontal="left" wrapText="1"/>
    </xf>
    <xf numFmtId="0" fontId="4" fillId="0" borderId="24" xfId="20" applyFont="1" applyBorder="1" applyAlignment="1">
      <alignment horizontal="left"/>
    </xf>
    <xf numFmtId="0" fontId="4" fillId="0" borderId="37" xfId="20" applyFont="1" applyBorder="1" applyAlignment="1">
      <alignment horizontal="left"/>
    </xf>
    <xf numFmtId="0" fontId="29" fillId="0" borderId="1" xfId="20" applyFont="1" applyBorder="1" applyAlignment="1">
      <alignment horizontal="center" vertical="center" wrapText="1"/>
    </xf>
    <xf numFmtId="166" fontId="4" fillId="2" borderId="2" xfId="20" applyNumberFormat="1" applyFont="1" applyFill="1" applyBorder="1" applyAlignment="1">
      <alignment horizontal="left" vertical="center" wrapText="1"/>
    </xf>
    <xf numFmtId="166" fontId="4" fillId="2" borderId="17" xfId="20" applyNumberFormat="1" applyFont="1" applyFill="1" applyBorder="1" applyAlignment="1">
      <alignment horizontal="left" vertical="center" wrapText="1"/>
    </xf>
    <xf numFmtId="166" fontId="4" fillId="2" borderId="4" xfId="20" applyNumberFormat="1" applyFont="1" applyFill="1" applyBorder="1" applyAlignment="1">
      <alignment horizontal="left" vertical="center" wrapText="1"/>
    </xf>
    <xf numFmtId="0" fontId="10" fillId="0" borderId="25" xfId="19" applyFont="1" applyBorder="1" applyAlignment="1">
      <alignment horizontal="left" wrapText="1"/>
    </xf>
    <xf numFmtId="0" fontId="4" fillId="0" borderId="24" xfId="20" applyFont="1" applyBorder="1" applyAlignment="1">
      <alignment horizontal="center" vertical="center" wrapText="1"/>
    </xf>
    <xf numFmtId="0" fontId="4" fillId="0" borderId="37" xfId="20" applyFont="1" applyBorder="1" applyAlignment="1">
      <alignment horizontal="center" vertical="center" wrapText="1"/>
    </xf>
    <xf numFmtId="0" fontId="4" fillId="0" borderId="22" xfId="2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1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166" fontId="4" fillId="0" borderId="4" xfId="0" applyNumberFormat="1" applyFont="1" applyBorder="1" applyAlignment="1">
      <alignment horizontal="left" vertical="center" wrapText="1"/>
    </xf>
    <xf numFmtId="0" fontId="2" fillId="2" borderId="24" xfId="0" applyFont="1" applyFill="1" applyBorder="1" applyAlignment="1">
      <alignment horizontal="center" vertical="center" wrapText="1" shrinkToFit="1"/>
    </xf>
    <xf numFmtId="0" fontId="2" fillId="2" borderId="22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35" fillId="2" borderId="24" xfId="0" applyFont="1" applyFill="1" applyBorder="1" applyAlignment="1">
      <alignment horizontal="center" vertical="center" wrapText="1"/>
    </xf>
    <xf numFmtId="0" fontId="35" fillId="2" borderId="37" xfId="0" applyFont="1" applyFill="1" applyBorder="1" applyAlignment="1">
      <alignment horizontal="center" vertical="center" wrapText="1"/>
    </xf>
    <xf numFmtId="0" fontId="35" fillId="2" borderId="22" xfId="0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/>
    <xf numFmtId="168" fontId="5" fillId="0" borderId="1" xfId="0" applyNumberFormat="1" applyFont="1" applyBorder="1" applyAlignment="1">
      <alignment horizontal="center" vertical="center" wrapText="1"/>
    </xf>
  </cellXfs>
  <cellStyles count="45">
    <cellStyle name="_прил 23-27 ЧЭ ХВС" xfId="1" xr:uid="{00000000-0005-0000-0000-000000000000}"/>
    <cellStyle name="AFE" xfId="2" xr:uid="{00000000-0005-0000-0000-000001000000}"/>
    <cellStyle name="Alilciue [0]_AAA" xfId="3" xr:uid="{00000000-0005-0000-0000-000002000000}"/>
    <cellStyle name="Alilciue_AAA" xfId="4" xr:uid="{00000000-0005-0000-0000-000003000000}"/>
    <cellStyle name="Äĺíĺćíűé_AN" xfId="5" xr:uid="{00000000-0005-0000-0000-000004000000}"/>
    <cellStyle name="Alilciue_IKGPR" xfId="6" xr:uid="{00000000-0005-0000-0000-000005000000}"/>
    <cellStyle name="Äĺíĺćíűé_KOTELPR" xfId="7" xr:uid="{00000000-0005-0000-0000-000006000000}"/>
    <cellStyle name="Alilciue_RAZRAD" xfId="8" xr:uid="{00000000-0005-0000-0000-000007000000}"/>
    <cellStyle name="Äĺíĺćíűé_REG" xfId="9" xr:uid="{00000000-0005-0000-0000-000008000000}"/>
    <cellStyle name="Iau?iue_AAA" xfId="10" xr:uid="{00000000-0005-0000-0000-000009000000}"/>
    <cellStyle name="Îáű÷íűé_1 číä óä10" xfId="11" xr:uid="{00000000-0005-0000-0000-00000A000000}"/>
    <cellStyle name="Nun??c [0]_AAA" xfId="12" xr:uid="{00000000-0005-0000-0000-00000B000000}"/>
    <cellStyle name="Nun??c_AAA" xfId="13" xr:uid="{00000000-0005-0000-0000-00000C000000}"/>
    <cellStyle name="Ňűń˙÷č [0]_1 číä óä10" xfId="14" xr:uid="{00000000-0005-0000-0000-00000D000000}"/>
    <cellStyle name="Ňűń˙÷č_1 číä óä10" xfId="15" xr:uid="{00000000-0005-0000-0000-00000E000000}"/>
    <cellStyle name="Ôčíŕíńîâűé [0]_ATPCD30" xfId="16" xr:uid="{00000000-0005-0000-0000-00000F000000}"/>
    <cellStyle name="Ôčíŕíńîâűé_ATPCD30" xfId="17" xr:uid="{00000000-0005-0000-0000-000010000000}"/>
    <cellStyle name="Денежный [0Э_11DXATP" xfId="18" xr:uid="{00000000-0005-0000-0000-000011000000}"/>
    <cellStyle name="Обычный" xfId="0" builtinId="0"/>
    <cellStyle name="Обычный 2" xfId="19" xr:uid="{00000000-0005-0000-0000-000013000000}"/>
    <cellStyle name="Обычный 2 2" xfId="40" xr:uid="{00000000-0005-0000-0000-000014000000}"/>
    <cellStyle name="Обычный 2_ООО Тепловая компания (печора)" xfId="20" xr:uid="{00000000-0005-0000-0000-000015000000}"/>
    <cellStyle name="Обычный 3" xfId="21" xr:uid="{00000000-0005-0000-0000-000016000000}"/>
    <cellStyle name="Обычный 4" xfId="22" xr:uid="{00000000-0005-0000-0000-000017000000}"/>
    <cellStyle name="Обычный 5" xfId="23" xr:uid="{00000000-0005-0000-0000-000018000000}"/>
    <cellStyle name="Обычный 5 2" xfId="24" xr:uid="{00000000-0005-0000-0000-000019000000}"/>
    <cellStyle name="Обычный 5 2 2" xfId="42" xr:uid="{00000000-0005-0000-0000-00001A000000}"/>
    <cellStyle name="Обычный 5 3" xfId="25" xr:uid="{00000000-0005-0000-0000-00001B000000}"/>
    <cellStyle name="Обычный 5_ХВС БЖКХ ПП 2016 фактВ" xfId="26" xr:uid="{00000000-0005-0000-0000-00001C000000}"/>
    <cellStyle name="Обычный 6" xfId="27" xr:uid="{00000000-0005-0000-0000-00001D000000}"/>
    <cellStyle name="Обычный 7" xfId="28" xr:uid="{00000000-0005-0000-0000-00001E000000}"/>
    <cellStyle name="Обычный 8" xfId="29" xr:uid="{00000000-0005-0000-0000-00001F000000}"/>
    <cellStyle name="Обычный_PP_PitWater" xfId="30" xr:uid="{00000000-0005-0000-0000-000020000000}"/>
    <cellStyle name="Процентный 2" xfId="31" xr:uid="{00000000-0005-0000-0000-000022000000}"/>
    <cellStyle name="Процентный 2 2" xfId="44" xr:uid="{00000000-0005-0000-0000-000023000000}"/>
    <cellStyle name="Процентный 3" xfId="32" xr:uid="{00000000-0005-0000-0000-000024000000}"/>
    <cellStyle name="Процентный 4" xfId="33" xr:uid="{00000000-0005-0000-0000-000025000000}"/>
    <cellStyle name="Процентный 5" xfId="34" xr:uid="{00000000-0005-0000-0000-000026000000}"/>
    <cellStyle name="Процентный 6" xfId="35" xr:uid="{00000000-0005-0000-0000-000027000000}"/>
    <cellStyle name="Стиль 1" xfId="36" xr:uid="{00000000-0005-0000-0000-000028000000}"/>
    <cellStyle name="Тысячи [0]_1 инд уд10" xfId="37" xr:uid="{00000000-0005-0000-0000-000029000000}"/>
    <cellStyle name="Тысячи_1 инд уд10" xfId="38" xr:uid="{00000000-0005-0000-0000-00002A000000}"/>
    <cellStyle name="Финансовый 2" xfId="39" xr:uid="{00000000-0005-0000-0000-00002B000000}"/>
    <cellStyle name="Финансовый 2 2" xfId="41" xr:uid="{00000000-0005-0000-0000-00002C000000}"/>
    <cellStyle name="Финансовый 3" xfId="43" xr:uid="{00000000-0005-0000-0000-00002D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55;&#1069;&#1054;\&#1058;&#1072;&#1088;&#1080;&#1092;&#1099;\2024\&#1041;&#1046;&#1050;&#1061;%20&#1055;&#1055;_&#1042;&#1057;%20&#1080;%20&#1042;&#1054;%202022%20&#1092;&#1072;&#1082;&#1090;\&#1061;&#1042;&#1057;%20&#1055;&#1055;%20&#1041;&#1046;&#1050;&#1061;%202022%20&#1092;&#1072;&#1082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дел 1"/>
      <sheetName val="раздел 2"/>
      <sheetName val="раздел 3"/>
      <sheetName val="раздел 4"/>
      <sheetName val="раздел 5"/>
      <sheetName val="Билиб"/>
      <sheetName val="Билиб_объемы"/>
      <sheetName val=" Анюй"/>
      <sheetName val="Анюйск_объемы"/>
      <sheetName val="Илир"/>
      <sheetName val="Илирней_объемы"/>
      <sheetName val="Кепер"/>
      <sheetName val="Кеперв_объемы"/>
      <sheetName val="Омол"/>
      <sheetName val="Омолон_объемы"/>
      <sheetName val="Остров"/>
      <sheetName val="Остров_объем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4">
          <cell r="E14">
            <v>569084</v>
          </cell>
          <cell r="F14">
            <v>458114</v>
          </cell>
        </row>
        <row r="15">
          <cell r="E15">
            <v>31306.595999999998</v>
          </cell>
          <cell r="F15">
            <v>18815.349000000002</v>
          </cell>
        </row>
        <row r="18">
          <cell r="E18">
            <v>51411.335000000006</v>
          </cell>
          <cell r="F18">
            <v>27496.183000000005</v>
          </cell>
        </row>
        <row r="22">
          <cell r="E22">
            <v>304418.45500000002</v>
          </cell>
          <cell r="F22">
            <v>213572.18099999998</v>
          </cell>
        </row>
        <row r="26">
          <cell r="E26">
            <v>143811.625</v>
          </cell>
          <cell r="F26">
            <v>144970.87599999999</v>
          </cell>
        </row>
        <row r="28">
          <cell r="E28">
            <v>14231.075999999999</v>
          </cell>
          <cell r="F28">
            <v>14633.802000000001</v>
          </cell>
        </row>
        <row r="29">
          <cell r="E29">
            <v>23904.913</v>
          </cell>
          <cell r="F29">
            <v>38625.608999999997</v>
          </cell>
        </row>
      </sheetData>
      <sheetData sheetId="6" refreshError="1"/>
      <sheetData sheetId="7">
        <row r="13">
          <cell r="E13">
            <v>14827.508999999998</v>
          </cell>
        </row>
      </sheetData>
      <sheetData sheetId="8" refreshError="1"/>
      <sheetData sheetId="9">
        <row r="13">
          <cell r="E13">
            <v>8660</v>
          </cell>
        </row>
      </sheetData>
      <sheetData sheetId="10" refreshError="1"/>
      <sheetData sheetId="11">
        <row r="13">
          <cell r="E13">
            <v>13456.791000000001</v>
          </cell>
        </row>
      </sheetData>
      <sheetData sheetId="12" refreshError="1"/>
      <sheetData sheetId="13">
        <row r="13">
          <cell r="E13">
            <v>8965.9840000000004</v>
          </cell>
        </row>
      </sheetData>
      <sheetData sheetId="14" refreshError="1"/>
      <sheetData sheetId="15">
        <row r="13">
          <cell r="E13">
            <v>12635.255000000001</v>
          </cell>
        </row>
      </sheetData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C21"/>
  <sheetViews>
    <sheetView zoomScaleNormal="100" workbookViewId="0">
      <selection activeCell="B11" sqref="B11"/>
    </sheetView>
  </sheetViews>
  <sheetFormatPr defaultRowHeight="15.75" x14ac:dyDescent="0.25"/>
  <cols>
    <col min="1" max="1" width="49.7109375" style="4" customWidth="1"/>
    <col min="2" max="2" width="61.85546875" style="4" customWidth="1"/>
    <col min="3" max="3" width="7" style="4" customWidth="1"/>
    <col min="4" max="4" width="6.7109375" style="4" customWidth="1"/>
    <col min="5" max="16384" width="9.140625" style="4"/>
  </cols>
  <sheetData>
    <row r="1" spans="1:3" s="5" customFormat="1" ht="18.75" x14ac:dyDescent="0.3">
      <c r="A1" s="319" t="s">
        <v>78</v>
      </c>
      <c r="B1" s="319"/>
    </row>
    <row r="2" spans="1:3" s="5" customFormat="1" ht="37.5" customHeight="1" x14ac:dyDescent="0.3">
      <c r="A2" s="320" t="s">
        <v>189</v>
      </c>
      <c r="B2" s="320"/>
    </row>
    <row r="3" spans="1:3" s="5" customFormat="1" ht="19.5" customHeight="1" x14ac:dyDescent="0.3">
      <c r="A3" s="321"/>
      <c r="B3" s="322"/>
    </row>
    <row r="4" spans="1:3" s="5" customFormat="1" ht="18.75" customHeight="1" x14ac:dyDescent="0.3">
      <c r="A4" s="323" t="s">
        <v>70</v>
      </c>
      <c r="B4" s="323"/>
    </row>
    <row r="5" spans="1:3" ht="27" customHeight="1" x14ac:dyDescent="0.25">
      <c r="A5" s="6" t="s">
        <v>74</v>
      </c>
      <c r="B5" s="12" t="s">
        <v>71</v>
      </c>
    </row>
    <row r="6" spans="1:3" ht="36" customHeight="1" x14ac:dyDescent="0.25">
      <c r="A6" s="6" t="s">
        <v>75</v>
      </c>
      <c r="B6" s="14" t="s">
        <v>73</v>
      </c>
    </row>
    <row r="7" spans="1:3" ht="38.25" customHeight="1" x14ac:dyDescent="0.25">
      <c r="A7" s="6" t="s">
        <v>76</v>
      </c>
      <c r="B7" s="14" t="s">
        <v>72</v>
      </c>
    </row>
    <row r="8" spans="1:3" ht="27.75" customHeight="1" x14ac:dyDescent="0.25">
      <c r="A8" s="6" t="s">
        <v>77</v>
      </c>
      <c r="B8" s="109" t="s">
        <v>181</v>
      </c>
    </row>
    <row r="9" spans="1:3" s="9" customFormat="1" ht="21.75" customHeight="1" x14ac:dyDescent="0.25">
      <c r="A9" s="7"/>
      <c r="B9" s="8"/>
    </row>
    <row r="11" spans="1:3" x14ac:dyDescent="0.25">
      <c r="A11" s="316" t="s">
        <v>234</v>
      </c>
      <c r="B11" s="317" t="s">
        <v>235</v>
      </c>
    </row>
    <row r="12" spans="1:3" x14ac:dyDescent="0.25">
      <c r="A12" s="318" t="s">
        <v>236</v>
      </c>
      <c r="B12" s="318" t="s">
        <v>237</v>
      </c>
    </row>
    <row r="14" spans="1:3" x14ac:dyDescent="0.25">
      <c r="C14" s="10"/>
    </row>
    <row r="16" spans="1:3" x14ac:dyDescent="0.25">
      <c r="C16" s="11"/>
    </row>
    <row r="19" spans="1:3" s="9" customFormat="1" x14ac:dyDescent="0.25">
      <c r="A19" s="4"/>
      <c r="B19" s="4"/>
      <c r="C19" s="4"/>
    </row>
    <row r="20" spans="1:3" ht="15" customHeight="1" x14ac:dyDescent="0.25"/>
    <row r="21" spans="1:3" ht="31.5" customHeight="1" x14ac:dyDescent="0.25"/>
  </sheetData>
  <mergeCells count="4">
    <mergeCell ref="A1:B1"/>
    <mergeCell ref="A2:B2"/>
    <mergeCell ref="A3:B3"/>
    <mergeCell ref="A4:B4"/>
  </mergeCells>
  <phoneticPr fontId="3" type="noConversion"/>
  <printOptions horizontalCentered="1"/>
  <pageMargins left="1.1811023622047245" right="0.39370078740157483" top="0.78740157480314965" bottom="0.3937007874015748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ER55"/>
  <sheetViews>
    <sheetView zoomScale="80" zoomScaleNormal="80" workbookViewId="0">
      <pane xSplit="3" ySplit="7" topLeftCell="DP8" activePane="bottomRight" state="frozen"/>
      <selection activeCell="AA4" sqref="AA4:AA5"/>
      <selection pane="topRight" activeCell="AA4" sqref="AA4:AA5"/>
      <selection pane="bottomLeft" activeCell="AA4" sqref="AA4:AA5"/>
      <selection pane="bottomRight" activeCell="DS10" sqref="DS10"/>
    </sheetView>
  </sheetViews>
  <sheetFormatPr defaultRowHeight="12.75" x14ac:dyDescent="0.2"/>
  <cols>
    <col min="1" max="1" width="6.7109375" style="54" customWidth="1"/>
    <col min="2" max="2" width="41" style="54" customWidth="1"/>
    <col min="3" max="3" width="12.140625" style="54" customWidth="1"/>
    <col min="4" max="4" width="12.85546875" style="54" hidden="1" customWidth="1"/>
    <col min="5" max="6" width="15" style="80" hidden="1" customWidth="1"/>
    <col min="7" max="7" width="14.140625" style="80" hidden="1" customWidth="1"/>
    <col min="8" max="10" width="12.28515625" style="54" hidden="1" customWidth="1"/>
    <col min="11" max="15" width="14.42578125" style="54" hidden="1" customWidth="1"/>
    <col min="16" max="16" width="16.140625" style="54" hidden="1" customWidth="1"/>
    <col min="17" max="19" width="13.28515625" style="102" hidden="1" customWidth="1"/>
    <col min="20" max="20" width="13.28515625" style="54" hidden="1" customWidth="1"/>
    <col min="21" max="23" width="13.28515625" style="102" hidden="1" customWidth="1"/>
    <col min="24" max="27" width="12.28515625" style="54" customWidth="1"/>
    <col min="28" max="28" width="11.7109375" style="54" hidden="1" customWidth="1"/>
    <col min="29" max="30" width="14" style="80" hidden="1" customWidth="1"/>
    <col min="31" max="31" width="12.28515625" style="80" hidden="1" customWidth="1"/>
    <col min="32" max="32" width="11.7109375" style="54" hidden="1" customWidth="1"/>
    <col min="33" max="40" width="12.28515625" style="54" hidden="1" customWidth="1"/>
    <col min="41" max="43" width="12.28515625" style="102" hidden="1" customWidth="1"/>
    <col min="44" max="44" width="12.28515625" style="54" hidden="1" customWidth="1"/>
    <col min="45" max="47" width="12.28515625" style="102" hidden="1" customWidth="1"/>
    <col min="48" max="48" width="11.7109375" style="54" customWidth="1"/>
    <col min="49" max="50" width="12.28515625" style="54" bestFit="1" customWidth="1"/>
    <col min="51" max="51" width="11.7109375" style="54" customWidth="1"/>
    <col min="52" max="52" width="11.7109375" style="54" hidden="1" customWidth="1"/>
    <col min="53" max="54" width="14.5703125" style="54" hidden="1" customWidth="1"/>
    <col min="55" max="55" width="12.28515625" style="54" hidden="1" customWidth="1"/>
    <col min="56" max="56" width="11.7109375" style="54" hidden="1" customWidth="1"/>
    <col min="57" max="64" width="12.28515625" style="54" hidden="1" customWidth="1"/>
    <col min="65" max="67" width="12.28515625" style="102" hidden="1" customWidth="1"/>
    <col min="68" max="68" width="12.28515625" style="54" hidden="1" customWidth="1"/>
    <col min="69" max="71" width="12.28515625" style="102" hidden="1" customWidth="1"/>
    <col min="72" max="72" width="11.7109375" style="54" customWidth="1"/>
    <col min="73" max="74" width="12.28515625" style="54" bestFit="1" customWidth="1"/>
    <col min="75" max="75" width="11.7109375" style="54" customWidth="1"/>
    <col min="76" max="76" width="11.7109375" style="54" hidden="1" customWidth="1"/>
    <col min="77" max="78" width="14" style="80" hidden="1" customWidth="1"/>
    <col min="79" max="79" width="12.28515625" style="80" hidden="1" customWidth="1"/>
    <col min="80" max="80" width="11.7109375" style="54" hidden="1" customWidth="1"/>
    <col min="81" max="88" width="12.28515625" style="54" hidden="1" customWidth="1"/>
    <col min="89" max="91" width="12.28515625" style="102" hidden="1" customWidth="1"/>
    <col min="92" max="92" width="12.28515625" style="54" hidden="1" customWidth="1"/>
    <col min="93" max="95" width="12.28515625" style="102" hidden="1" customWidth="1"/>
    <col min="96" max="96" width="11.7109375" style="54" customWidth="1"/>
    <col min="97" max="98" width="12.28515625" style="54" bestFit="1" customWidth="1"/>
    <col min="99" max="99" width="11.7109375" style="54" customWidth="1"/>
    <col min="100" max="100" width="11.7109375" style="54" hidden="1" customWidth="1"/>
    <col min="101" max="102" width="13.7109375" style="80" hidden="1" customWidth="1"/>
    <col min="103" max="103" width="12.28515625" style="80" hidden="1" customWidth="1"/>
    <col min="104" max="104" width="11.7109375" style="54" hidden="1" customWidth="1"/>
    <col min="105" max="112" width="12.28515625" style="54" hidden="1" customWidth="1"/>
    <col min="113" max="114" width="12.28515625" style="102" hidden="1" customWidth="1"/>
    <col min="115" max="115" width="15.28515625" style="102" hidden="1" customWidth="1"/>
    <col min="116" max="116" width="12.28515625" style="54" hidden="1" customWidth="1"/>
    <col min="117" max="119" width="12.28515625" style="102" hidden="1" customWidth="1"/>
    <col min="120" max="120" width="11.7109375" style="54" customWidth="1"/>
    <col min="121" max="122" width="12.28515625" style="54" bestFit="1" customWidth="1"/>
    <col min="123" max="123" width="11.7109375" style="54" customWidth="1"/>
    <col min="124" max="124" width="11.7109375" style="54" hidden="1" customWidth="1"/>
    <col min="125" max="126" width="13.7109375" style="80" hidden="1" customWidth="1"/>
    <col min="127" max="127" width="12.28515625" style="80" hidden="1" customWidth="1"/>
    <col min="128" max="128" width="11.7109375" style="54" hidden="1" customWidth="1"/>
    <col min="129" max="136" width="12.28515625" style="54" hidden="1" customWidth="1"/>
    <col min="137" max="139" width="12.28515625" style="102" hidden="1" customWidth="1"/>
    <col min="140" max="140" width="12.28515625" style="54" hidden="1" customWidth="1"/>
    <col min="141" max="143" width="12.28515625" style="102" hidden="1" customWidth="1"/>
    <col min="144" max="144" width="11.7109375" style="54" customWidth="1"/>
    <col min="145" max="146" width="12.28515625" style="54" bestFit="1" customWidth="1"/>
    <col min="147" max="147" width="11.7109375" style="54" customWidth="1"/>
    <col min="148" max="148" width="9.140625" style="54" customWidth="1"/>
    <col min="149" max="16384" width="9.140625" style="54"/>
  </cols>
  <sheetData>
    <row r="1" spans="1:148" s="17" customFormat="1" ht="23.25" customHeight="1" x14ac:dyDescent="0.3">
      <c r="A1" s="323" t="s">
        <v>129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85"/>
      <c r="AE1" s="85"/>
      <c r="AF1" s="15"/>
      <c r="AG1" s="15"/>
      <c r="AH1" s="15"/>
      <c r="AI1" s="15"/>
      <c r="AJ1" s="15"/>
      <c r="AK1" s="15"/>
      <c r="AL1" s="15"/>
      <c r="AM1" s="15"/>
      <c r="AN1" s="15"/>
      <c r="AO1" s="103"/>
      <c r="AP1" s="103"/>
      <c r="AQ1" s="103"/>
      <c r="AR1" s="15"/>
      <c r="AS1" s="103"/>
      <c r="AT1" s="103"/>
      <c r="AU1" s="103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03"/>
      <c r="BN1" s="103"/>
      <c r="BO1" s="103"/>
      <c r="BP1" s="15"/>
      <c r="BQ1" s="103"/>
      <c r="BR1" s="103"/>
      <c r="BS1" s="103"/>
      <c r="BT1" s="15"/>
      <c r="BU1" s="15"/>
      <c r="BV1" s="15"/>
      <c r="BW1" s="15"/>
      <c r="BX1" s="15"/>
      <c r="BY1" s="85"/>
      <c r="BZ1" s="85"/>
      <c r="CA1" s="85"/>
      <c r="CB1" s="15"/>
      <c r="CC1" s="15"/>
      <c r="CD1" s="15"/>
      <c r="CE1" s="15"/>
      <c r="CF1" s="15"/>
      <c r="CG1" s="15"/>
      <c r="CH1" s="15"/>
      <c r="CI1" s="15"/>
      <c r="CJ1" s="15"/>
      <c r="CK1" s="103"/>
      <c r="CL1" s="103"/>
      <c r="CM1" s="103"/>
      <c r="CN1" s="15"/>
      <c r="CO1" s="103"/>
      <c r="CP1" s="103"/>
      <c r="CQ1" s="103"/>
      <c r="CR1" s="15"/>
      <c r="CS1" s="15"/>
      <c r="CT1" s="15"/>
      <c r="CU1" s="15"/>
      <c r="CV1" s="15"/>
      <c r="CW1" s="85"/>
      <c r="CX1" s="85"/>
      <c r="CY1" s="85"/>
      <c r="CZ1" s="15"/>
      <c r="DA1" s="15"/>
      <c r="DB1" s="15"/>
      <c r="DC1" s="15"/>
      <c r="DD1" s="15"/>
      <c r="DE1" s="15"/>
      <c r="DF1" s="15"/>
      <c r="DG1" s="15"/>
      <c r="DH1" s="15"/>
      <c r="DI1" s="103"/>
      <c r="DJ1" s="103"/>
      <c r="DK1" s="103"/>
      <c r="DL1" s="15"/>
      <c r="DM1" s="103"/>
      <c r="DN1" s="103"/>
      <c r="DO1" s="103"/>
      <c r="DP1" s="15"/>
      <c r="DQ1" s="15"/>
      <c r="DR1" s="15"/>
      <c r="DS1" s="15"/>
      <c r="DT1" s="16"/>
      <c r="DU1" s="86"/>
      <c r="DV1" s="86"/>
      <c r="DW1" s="86"/>
      <c r="DX1" s="16"/>
      <c r="DY1" s="16"/>
      <c r="DZ1" s="16"/>
      <c r="EA1" s="16"/>
      <c r="EB1" s="16"/>
      <c r="EC1" s="16"/>
      <c r="ED1" s="16"/>
      <c r="EE1" s="16"/>
      <c r="EF1" s="16"/>
      <c r="EG1" s="104"/>
      <c r="EH1" s="104"/>
      <c r="EI1" s="104"/>
      <c r="EJ1" s="16"/>
      <c r="EK1" s="104"/>
      <c r="EL1" s="104"/>
      <c r="EM1" s="104"/>
      <c r="EN1" s="16"/>
    </row>
    <row r="2" spans="1:148" s="17" customFormat="1" ht="19.5" customHeight="1" x14ac:dyDescent="0.3">
      <c r="A2" s="336" t="s">
        <v>79</v>
      </c>
      <c r="B2" s="339" t="s">
        <v>80</v>
      </c>
      <c r="C2" s="339" t="s">
        <v>26</v>
      </c>
      <c r="D2" s="346" t="s">
        <v>127</v>
      </c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347"/>
      <c r="BE2" s="347"/>
      <c r="BF2" s="347"/>
      <c r="BG2" s="347"/>
      <c r="BH2" s="347"/>
      <c r="BI2" s="347"/>
      <c r="BJ2" s="347"/>
      <c r="BK2" s="347"/>
      <c r="BL2" s="347"/>
      <c r="BM2" s="347"/>
      <c r="BN2" s="347"/>
      <c r="BO2" s="347"/>
      <c r="BP2" s="347"/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347"/>
      <c r="CI2" s="347"/>
      <c r="CJ2" s="347"/>
      <c r="CK2" s="347"/>
      <c r="CL2" s="347"/>
      <c r="CM2" s="347"/>
      <c r="CN2" s="347"/>
      <c r="CO2" s="347"/>
      <c r="CP2" s="347"/>
      <c r="CQ2" s="347"/>
      <c r="CR2" s="347"/>
      <c r="CS2" s="347"/>
      <c r="CT2" s="347"/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347"/>
      <c r="DM2" s="347"/>
      <c r="DN2" s="347"/>
      <c r="DO2" s="347"/>
      <c r="DP2" s="347"/>
      <c r="DQ2" s="347"/>
      <c r="DR2" s="347"/>
      <c r="DS2" s="347"/>
      <c r="DT2" s="347"/>
      <c r="DU2" s="347"/>
      <c r="DV2" s="347"/>
      <c r="DW2" s="347"/>
      <c r="DX2" s="347"/>
      <c r="DY2" s="347"/>
      <c r="DZ2" s="347"/>
      <c r="EA2" s="347"/>
      <c r="EB2" s="59"/>
      <c r="EC2" s="59"/>
      <c r="ED2" s="59"/>
      <c r="EE2" s="59"/>
      <c r="EF2" s="59"/>
      <c r="EG2" s="105"/>
      <c r="EH2" s="105"/>
      <c r="EI2" s="105"/>
      <c r="EJ2" s="59"/>
      <c r="EK2" s="105"/>
      <c r="EL2" s="105"/>
      <c r="EM2" s="105"/>
      <c r="EN2" s="59"/>
      <c r="EO2" s="59"/>
      <c r="EP2" s="59"/>
      <c r="EQ2" s="60"/>
      <c r="ER2" s="61"/>
    </row>
    <row r="3" spans="1:148" s="18" customFormat="1" ht="15" customHeight="1" x14ac:dyDescent="0.2">
      <c r="A3" s="337"/>
      <c r="B3" s="339"/>
      <c r="C3" s="339"/>
      <c r="D3" s="340" t="s">
        <v>121</v>
      </c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2"/>
      <c r="AB3" s="340" t="s">
        <v>122</v>
      </c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2"/>
      <c r="AZ3" s="340" t="s">
        <v>123</v>
      </c>
      <c r="BA3" s="341"/>
      <c r="BB3" s="341"/>
      <c r="BC3" s="341"/>
      <c r="BD3" s="341"/>
      <c r="BE3" s="341"/>
      <c r="BF3" s="341"/>
      <c r="BG3" s="341"/>
      <c r="BH3" s="341"/>
      <c r="BI3" s="341"/>
      <c r="BJ3" s="341"/>
      <c r="BK3" s="341"/>
      <c r="BL3" s="341"/>
      <c r="BM3" s="341"/>
      <c r="BN3" s="341"/>
      <c r="BO3" s="341"/>
      <c r="BP3" s="341"/>
      <c r="BQ3" s="341"/>
      <c r="BR3" s="341"/>
      <c r="BS3" s="341"/>
      <c r="BT3" s="341"/>
      <c r="BU3" s="341"/>
      <c r="BV3" s="341"/>
      <c r="BW3" s="342"/>
      <c r="BX3" s="340" t="s">
        <v>124</v>
      </c>
      <c r="BY3" s="341"/>
      <c r="BZ3" s="341"/>
      <c r="CA3" s="341"/>
      <c r="CB3" s="341"/>
      <c r="CC3" s="341"/>
      <c r="CD3" s="341"/>
      <c r="CE3" s="341"/>
      <c r="CF3" s="341"/>
      <c r="CG3" s="341"/>
      <c r="CH3" s="341"/>
      <c r="CI3" s="341"/>
      <c r="CJ3" s="341"/>
      <c r="CK3" s="341"/>
      <c r="CL3" s="341"/>
      <c r="CM3" s="341"/>
      <c r="CN3" s="341"/>
      <c r="CO3" s="341"/>
      <c r="CP3" s="341"/>
      <c r="CQ3" s="341"/>
      <c r="CR3" s="341"/>
      <c r="CS3" s="341"/>
      <c r="CT3" s="341"/>
      <c r="CU3" s="342"/>
      <c r="CV3" s="340" t="s">
        <v>125</v>
      </c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341"/>
      <c r="DM3" s="341"/>
      <c r="DN3" s="341"/>
      <c r="DO3" s="341"/>
      <c r="DP3" s="341"/>
      <c r="DQ3" s="341"/>
      <c r="DR3" s="341"/>
      <c r="DS3" s="342"/>
      <c r="DT3" s="340" t="s">
        <v>126</v>
      </c>
      <c r="DU3" s="341"/>
      <c r="DV3" s="341"/>
      <c r="DW3" s="341"/>
      <c r="DX3" s="341"/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341"/>
      <c r="EQ3" s="342"/>
      <c r="ER3" s="62"/>
    </row>
    <row r="4" spans="1:148" s="18" customFormat="1" ht="15" customHeight="1" x14ac:dyDescent="0.2">
      <c r="A4" s="337"/>
      <c r="B4" s="339"/>
      <c r="C4" s="339"/>
      <c r="D4" s="330" t="s">
        <v>134</v>
      </c>
      <c r="E4" s="331"/>
      <c r="F4" s="331"/>
      <c r="G4" s="332"/>
      <c r="H4" s="324" t="s">
        <v>135</v>
      </c>
      <c r="I4" s="325"/>
      <c r="J4" s="325"/>
      <c r="K4" s="326"/>
      <c r="L4" s="324" t="s">
        <v>136</v>
      </c>
      <c r="M4" s="325"/>
      <c r="N4" s="325"/>
      <c r="O4" s="326"/>
      <c r="P4" s="333" t="s">
        <v>137</v>
      </c>
      <c r="Q4" s="334"/>
      <c r="R4" s="334"/>
      <c r="S4" s="335"/>
      <c r="T4" s="324" t="s">
        <v>138</v>
      </c>
      <c r="U4" s="325"/>
      <c r="V4" s="325"/>
      <c r="W4" s="326"/>
      <c r="X4" s="324" t="s">
        <v>190</v>
      </c>
      <c r="Y4" s="325"/>
      <c r="Z4" s="325"/>
      <c r="AA4" s="326"/>
      <c r="AB4" s="330" t="s">
        <v>134</v>
      </c>
      <c r="AC4" s="331"/>
      <c r="AD4" s="331"/>
      <c r="AE4" s="332"/>
      <c r="AF4" s="324" t="s">
        <v>135</v>
      </c>
      <c r="AG4" s="325"/>
      <c r="AH4" s="325"/>
      <c r="AI4" s="326"/>
      <c r="AJ4" s="324" t="s">
        <v>136</v>
      </c>
      <c r="AK4" s="325"/>
      <c r="AL4" s="325"/>
      <c r="AM4" s="326"/>
      <c r="AN4" s="324" t="s">
        <v>137</v>
      </c>
      <c r="AO4" s="325"/>
      <c r="AP4" s="325"/>
      <c r="AQ4" s="326"/>
      <c r="AR4" s="324" t="s">
        <v>138</v>
      </c>
      <c r="AS4" s="325"/>
      <c r="AT4" s="325"/>
      <c r="AU4" s="326"/>
      <c r="AV4" s="324" t="s">
        <v>190</v>
      </c>
      <c r="AW4" s="325"/>
      <c r="AX4" s="325"/>
      <c r="AY4" s="326"/>
      <c r="AZ4" s="330" t="s">
        <v>134</v>
      </c>
      <c r="BA4" s="331"/>
      <c r="BB4" s="331"/>
      <c r="BC4" s="332"/>
      <c r="BD4" s="324" t="s">
        <v>135</v>
      </c>
      <c r="BE4" s="325"/>
      <c r="BF4" s="325"/>
      <c r="BG4" s="326"/>
      <c r="BH4" s="324" t="s">
        <v>136</v>
      </c>
      <c r="BI4" s="325"/>
      <c r="BJ4" s="325"/>
      <c r="BK4" s="326"/>
      <c r="BL4" s="324" t="s">
        <v>137</v>
      </c>
      <c r="BM4" s="325"/>
      <c r="BN4" s="325"/>
      <c r="BO4" s="326"/>
      <c r="BP4" s="324" t="s">
        <v>138</v>
      </c>
      <c r="BQ4" s="325"/>
      <c r="BR4" s="325"/>
      <c r="BS4" s="326"/>
      <c r="BT4" s="324" t="s">
        <v>190</v>
      </c>
      <c r="BU4" s="325"/>
      <c r="BV4" s="325"/>
      <c r="BW4" s="326"/>
      <c r="BX4" s="330" t="s">
        <v>134</v>
      </c>
      <c r="BY4" s="331"/>
      <c r="BZ4" s="331"/>
      <c r="CA4" s="332"/>
      <c r="CB4" s="324" t="s">
        <v>135</v>
      </c>
      <c r="CC4" s="325"/>
      <c r="CD4" s="325"/>
      <c r="CE4" s="326"/>
      <c r="CF4" s="324" t="s">
        <v>136</v>
      </c>
      <c r="CG4" s="325"/>
      <c r="CH4" s="325"/>
      <c r="CI4" s="326"/>
      <c r="CJ4" s="324" t="s">
        <v>137</v>
      </c>
      <c r="CK4" s="325"/>
      <c r="CL4" s="325"/>
      <c r="CM4" s="326"/>
      <c r="CN4" s="324" t="s">
        <v>138</v>
      </c>
      <c r="CO4" s="325"/>
      <c r="CP4" s="325"/>
      <c r="CQ4" s="326"/>
      <c r="CR4" s="324" t="s">
        <v>190</v>
      </c>
      <c r="CS4" s="325"/>
      <c r="CT4" s="325"/>
      <c r="CU4" s="326"/>
      <c r="CV4" s="330" t="s">
        <v>134</v>
      </c>
      <c r="CW4" s="331"/>
      <c r="CX4" s="331"/>
      <c r="CY4" s="332"/>
      <c r="CZ4" s="324" t="s">
        <v>135</v>
      </c>
      <c r="DA4" s="325"/>
      <c r="DB4" s="325"/>
      <c r="DC4" s="326"/>
      <c r="DD4" s="324" t="s">
        <v>136</v>
      </c>
      <c r="DE4" s="325"/>
      <c r="DF4" s="325"/>
      <c r="DG4" s="326"/>
      <c r="DH4" s="324" t="s">
        <v>137</v>
      </c>
      <c r="DI4" s="325"/>
      <c r="DJ4" s="325"/>
      <c r="DK4" s="326"/>
      <c r="DL4" s="324" t="s">
        <v>138</v>
      </c>
      <c r="DM4" s="325"/>
      <c r="DN4" s="325"/>
      <c r="DO4" s="326"/>
      <c r="DP4" s="324" t="s">
        <v>190</v>
      </c>
      <c r="DQ4" s="325"/>
      <c r="DR4" s="325"/>
      <c r="DS4" s="326"/>
      <c r="DT4" s="344" t="s">
        <v>134</v>
      </c>
      <c r="DU4" s="344"/>
      <c r="DV4" s="344"/>
      <c r="DW4" s="344"/>
      <c r="DX4" s="343" t="s">
        <v>135</v>
      </c>
      <c r="DY4" s="343"/>
      <c r="DZ4" s="343"/>
      <c r="EA4" s="343"/>
      <c r="EB4" s="343" t="s">
        <v>136</v>
      </c>
      <c r="EC4" s="343"/>
      <c r="ED4" s="343"/>
      <c r="EE4" s="343"/>
      <c r="EF4" s="345" t="s">
        <v>137</v>
      </c>
      <c r="EG4" s="345"/>
      <c r="EH4" s="345"/>
      <c r="EI4" s="345"/>
      <c r="EJ4" s="343" t="s">
        <v>138</v>
      </c>
      <c r="EK4" s="343"/>
      <c r="EL4" s="343"/>
      <c r="EM4" s="343"/>
      <c r="EN4" s="343" t="s">
        <v>190</v>
      </c>
      <c r="EO4" s="343"/>
      <c r="EP4" s="343"/>
      <c r="EQ4" s="343"/>
      <c r="ER4" s="62"/>
    </row>
    <row r="5" spans="1:148" s="18" customFormat="1" ht="15" customHeight="1" x14ac:dyDescent="0.2">
      <c r="A5" s="337"/>
      <c r="B5" s="339"/>
      <c r="C5" s="339"/>
      <c r="D5" s="153" t="s">
        <v>81</v>
      </c>
      <c r="E5" s="327" t="s">
        <v>82</v>
      </c>
      <c r="F5" s="328"/>
      <c r="G5" s="329"/>
      <c r="H5" s="153" t="s">
        <v>81</v>
      </c>
      <c r="I5" s="327" t="s">
        <v>82</v>
      </c>
      <c r="J5" s="328"/>
      <c r="K5" s="329"/>
      <c r="L5" s="153" t="s">
        <v>81</v>
      </c>
      <c r="M5" s="327" t="s">
        <v>82</v>
      </c>
      <c r="N5" s="328"/>
      <c r="O5" s="329"/>
      <c r="P5" s="153" t="s">
        <v>81</v>
      </c>
      <c r="Q5" s="327" t="s">
        <v>82</v>
      </c>
      <c r="R5" s="328"/>
      <c r="S5" s="329"/>
      <c r="T5" s="153" t="s">
        <v>81</v>
      </c>
      <c r="U5" s="327" t="s">
        <v>82</v>
      </c>
      <c r="V5" s="328"/>
      <c r="W5" s="329"/>
      <c r="X5" s="153" t="s">
        <v>81</v>
      </c>
      <c r="Y5" s="327" t="s">
        <v>82</v>
      </c>
      <c r="Z5" s="328"/>
      <c r="AA5" s="329"/>
      <c r="AB5" s="153" t="s">
        <v>81</v>
      </c>
      <c r="AC5" s="327" t="s">
        <v>82</v>
      </c>
      <c r="AD5" s="328"/>
      <c r="AE5" s="329"/>
      <c r="AF5" s="153" t="s">
        <v>81</v>
      </c>
      <c r="AG5" s="327" t="s">
        <v>82</v>
      </c>
      <c r="AH5" s="328"/>
      <c r="AI5" s="329"/>
      <c r="AJ5" s="153" t="s">
        <v>81</v>
      </c>
      <c r="AK5" s="327" t="s">
        <v>82</v>
      </c>
      <c r="AL5" s="328"/>
      <c r="AM5" s="329"/>
      <c r="AN5" s="153" t="s">
        <v>81</v>
      </c>
      <c r="AO5" s="327" t="s">
        <v>82</v>
      </c>
      <c r="AP5" s="328"/>
      <c r="AQ5" s="329"/>
      <c r="AR5" s="153" t="s">
        <v>81</v>
      </c>
      <c r="AS5" s="327" t="s">
        <v>82</v>
      </c>
      <c r="AT5" s="328"/>
      <c r="AU5" s="329"/>
      <c r="AV5" s="153" t="s">
        <v>81</v>
      </c>
      <c r="AW5" s="327" t="s">
        <v>82</v>
      </c>
      <c r="AX5" s="328"/>
      <c r="AY5" s="329"/>
      <c r="AZ5" s="153" t="s">
        <v>81</v>
      </c>
      <c r="BA5" s="327" t="s">
        <v>82</v>
      </c>
      <c r="BB5" s="328"/>
      <c r="BC5" s="329"/>
      <c r="BD5" s="153" t="s">
        <v>81</v>
      </c>
      <c r="BE5" s="327" t="s">
        <v>82</v>
      </c>
      <c r="BF5" s="328"/>
      <c r="BG5" s="329"/>
      <c r="BH5" s="153" t="s">
        <v>81</v>
      </c>
      <c r="BI5" s="327" t="s">
        <v>82</v>
      </c>
      <c r="BJ5" s="328"/>
      <c r="BK5" s="329"/>
      <c r="BL5" s="153" t="s">
        <v>81</v>
      </c>
      <c r="BM5" s="327" t="s">
        <v>82</v>
      </c>
      <c r="BN5" s="328"/>
      <c r="BO5" s="329"/>
      <c r="BP5" s="153" t="s">
        <v>81</v>
      </c>
      <c r="BQ5" s="327" t="s">
        <v>82</v>
      </c>
      <c r="BR5" s="328"/>
      <c r="BS5" s="329"/>
      <c r="BT5" s="153" t="s">
        <v>81</v>
      </c>
      <c r="BU5" s="327" t="s">
        <v>82</v>
      </c>
      <c r="BV5" s="328"/>
      <c r="BW5" s="329"/>
      <c r="BX5" s="153" t="s">
        <v>81</v>
      </c>
      <c r="BY5" s="327" t="s">
        <v>82</v>
      </c>
      <c r="BZ5" s="328"/>
      <c r="CA5" s="329"/>
      <c r="CB5" s="153" t="s">
        <v>81</v>
      </c>
      <c r="CC5" s="327" t="s">
        <v>82</v>
      </c>
      <c r="CD5" s="328"/>
      <c r="CE5" s="329"/>
      <c r="CF5" s="153" t="s">
        <v>81</v>
      </c>
      <c r="CG5" s="327" t="s">
        <v>82</v>
      </c>
      <c r="CH5" s="328"/>
      <c r="CI5" s="329"/>
      <c r="CJ5" s="153" t="s">
        <v>81</v>
      </c>
      <c r="CK5" s="327" t="s">
        <v>82</v>
      </c>
      <c r="CL5" s="328"/>
      <c r="CM5" s="329"/>
      <c r="CN5" s="153" t="s">
        <v>81</v>
      </c>
      <c r="CO5" s="327" t="s">
        <v>82</v>
      </c>
      <c r="CP5" s="328"/>
      <c r="CQ5" s="329"/>
      <c r="CR5" s="153" t="s">
        <v>81</v>
      </c>
      <c r="CS5" s="327" t="s">
        <v>82</v>
      </c>
      <c r="CT5" s="328"/>
      <c r="CU5" s="329"/>
      <c r="CV5" s="153" t="s">
        <v>81</v>
      </c>
      <c r="CW5" s="327" t="s">
        <v>82</v>
      </c>
      <c r="CX5" s="328"/>
      <c r="CY5" s="329"/>
      <c r="CZ5" s="153" t="s">
        <v>81</v>
      </c>
      <c r="DA5" s="327" t="s">
        <v>82</v>
      </c>
      <c r="DB5" s="328"/>
      <c r="DC5" s="329"/>
      <c r="DD5" s="153" t="s">
        <v>81</v>
      </c>
      <c r="DE5" s="327" t="s">
        <v>82</v>
      </c>
      <c r="DF5" s="328"/>
      <c r="DG5" s="329"/>
      <c r="DH5" s="153" t="s">
        <v>81</v>
      </c>
      <c r="DI5" s="327" t="s">
        <v>82</v>
      </c>
      <c r="DJ5" s="328"/>
      <c r="DK5" s="329"/>
      <c r="DL5" s="153" t="s">
        <v>81</v>
      </c>
      <c r="DM5" s="327" t="s">
        <v>82</v>
      </c>
      <c r="DN5" s="328"/>
      <c r="DO5" s="329"/>
      <c r="DP5" s="153" t="s">
        <v>81</v>
      </c>
      <c r="DQ5" s="327" t="s">
        <v>82</v>
      </c>
      <c r="DR5" s="328"/>
      <c r="DS5" s="329"/>
      <c r="DT5" s="153" t="s">
        <v>81</v>
      </c>
      <c r="DU5" s="327" t="s">
        <v>82</v>
      </c>
      <c r="DV5" s="328"/>
      <c r="DW5" s="329"/>
      <c r="DX5" s="153" t="s">
        <v>81</v>
      </c>
      <c r="DY5" s="327" t="s">
        <v>82</v>
      </c>
      <c r="DZ5" s="328"/>
      <c r="EA5" s="329"/>
      <c r="EB5" s="153" t="s">
        <v>81</v>
      </c>
      <c r="EC5" s="327" t="s">
        <v>82</v>
      </c>
      <c r="ED5" s="328"/>
      <c r="EE5" s="329"/>
      <c r="EF5" s="153" t="s">
        <v>81</v>
      </c>
      <c r="EG5" s="327" t="s">
        <v>82</v>
      </c>
      <c r="EH5" s="328"/>
      <c r="EI5" s="329"/>
      <c r="EJ5" s="153" t="s">
        <v>81</v>
      </c>
      <c r="EK5" s="327" t="s">
        <v>82</v>
      </c>
      <c r="EL5" s="328"/>
      <c r="EM5" s="329"/>
      <c r="EN5" s="153" t="s">
        <v>81</v>
      </c>
      <c r="EO5" s="327" t="s">
        <v>82</v>
      </c>
      <c r="EP5" s="328"/>
      <c r="EQ5" s="329"/>
      <c r="ER5" s="62"/>
    </row>
    <row r="6" spans="1:148" s="18" customFormat="1" ht="19.5" customHeight="1" x14ac:dyDescent="0.2">
      <c r="A6" s="338"/>
      <c r="B6" s="339"/>
      <c r="C6" s="339"/>
      <c r="D6" s="153" t="s">
        <v>83</v>
      </c>
      <c r="E6" s="153" t="s">
        <v>84</v>
      </c>
      <c r="F6" s="153" t="s">
        <v>85</v>
      </c>
      <c r="G6" s="155">
        <v>58176.36400000006</v>
      </c>
      <c r="H6" s="153" t="s">
        <v>83</v>
      </c>
      <c r="I6" s="153" t="s">
        <v>84</v>
      </c>
      <c r="J6" s="153" t="s">
        <v>85</v>
      </c>
      <c r="K6" s="153" t="s">
        <v>83</v>
      </c>
      <c r="L6" s="153" t="s">
        <v>83</v>
      </c>
      <c r="M6" s="153" t="s">
        <v>84</v>
      </c>
      <c r="N6" s="153" t="s">
        <v>85</v>
      </c>
      <c r="O6" s="153" t="s">
        <v>83</v>
      </c>
      <c r="P6" s="153" t="s">
        <v>83</v>
      </c>
      <c r="Q6" s="153" t="s">
        <v>84</v>
      </c>
      <c r="R6" s="153" t="s">
        <v>85</v>
      </c>
      <c r="S6" s="153" t="s">
        <v>83</v>
      </c>
      <c r="T6" s="153" t="s">
        <v>83</v>
      </c>
      <c r="U6" s="153" t="s">
        <v>84</v>
      </c>
      <c r="V6" s="153" t="s">
        <v>85</v>
      </c>
      <c r="W6" s="153" t="s">
        <v>83</v>
      </c>
      <c r="X6" s="153" t="s">
        <v>83</v>
      </c>
      <c r="Y6" s="153" t="s">
        <v>84</v>
      </c>
      <c r="Z6" s="153" t="s">
        <v>85</v>
      </c>
      <c r="AA6" s="153" t="s">
        <v>83</v>
      </c>
      <c r="AB6" s="153" t="s">
        <v>83</v>
      </c>
      <c r="AC6" s="153" t="s">
        <v>84</v>
      </c>
      <c r="AD6" s="153" t="s">
        <v>85</v>
      </c>
      <c r="AE6" s="153" t="s">
        <v>83</v>
      </c>
      <c r="AF6" s="153" t="s">
        <v>83</v>
      </c>
      <c r="AG6" s="153" t="s">
        <v>84</v>
      </c>
      <c r="AH6" s="153" t="s">
        <v>85</v>
      </c>
      <c r="AI6" s="153" t="s">
        <v>83</v>
      </c>
      <c r="AJ6" s="153" t="s">
        <v>83</v>
      </c>
      <c r="AK6" s="153" t="s">
        <v>84</v>
      </c>
      <c r="AL6" s="153" t="s">
        <v>85</v>
      </c>
      <c r="AM6" s="154" t="s">
        <v>83</v>
      </c>
      <c r="AN6" s="153" t="s">
        <v>83</v>
      </c>
      <c r="AO6" s="153" t="s">
        <v>84</v>
      </c>
      <c r="AP6" s="153" t="s">
        <v>85</v>
      </c>
      <c r="AQ6" s="153" t="s">
        <v>83</v>
      </c>
      <c r="AR6" s="153" t="s">
        <v>83</v>
      </c>
      <c r="AS6" s="153" t="s">
        <v>84</v>
      </c>
      <c r="AT6" s="153" t="s">
        <v>85</v>
      </c>
      <c r="AU6" s="153" t="s">
        <v>83</v>
      </c>
      <c r="AV6" s="153" t="s">
        <v>83</v>
      </c>
      <c r="AW6" s="153" t="s">
        <v>84</v>
      </c>
      <c r="AX6" s="153" t="s">
        <v>85</v>
      </c>
      <c r="AY6" s="153" t="s">
        <v>83</v>
      </c>
      <c r="AZ6" s="153" t="s">
        <v>83</v>
      </c>
      <c r="BA6" s="153" t="s">
        <v>84</v>
      </c>
      <c r="BB6" s="153" t="s">
        <v>85</v>
      </c>
      <c r="BC6" s="153" t="s">
        <v>83</v>
      </c>
      <c r="BD6" s="153" t="s">
        <v>83</v>
      </c>
      <c r="BE6" s="153" t="s">
        <v>84</v>
      </c>
      <c r="BF6" s="153" t="s">
        <v>85</v>
      </c>
      <c r="BG6" s="153" t="s">
        <v>83</v>
      </c>
      <c r="BH6" s="153" t="s">
        <v>83</v>
      </c>
      <c r="BI6" s="153" t="s">
        <v>84</v>
      </c>
      <c r="BJ6" s="153" t="s">
        <v>85</v>
      </c>
      <c r="BK6" s="153" t="s">
        <v>83</v>
      </c>
      <c r="BL6" s="153" t="s">
        <v>83</v>
      </c>
      <c r="BM6" s="153" t="s">
        <v>84</v>
      </c>
      <c r="BN6" s="153" t="s">
        <v>85</v>
      </c>
      <c r="BO6" s="153" t="s">
        <v>83</v>
      </c>
      <c r="BP6" s="153" t="s">
        <v>83</v>
      </c>
      <c r="BQ6" s="153" t="s">
        <v>84</v>
      </c>
      <c r="BR6" s="153" t="s">
        <v>85</v>
      </c>
      <c r="BS6" s="153" t="s">
        <v>83</v>
      </c>
      <c r="BT6" s="153" t="s">
        <v>83</v>
      </c>
      <c r="BU6" s="153" t="s">
        <v>84</v>
      </c>
      <c r="BV6" s="153" t="s">
        <v>85</v>
      </c>
      <c r="BW6" s="153" t="s">
        <v>83</v>
      </c>
      <c r="BX6" s="153" t="s">
        <v>83</v>
      </c>
      <c r="BY6" s="153" t="s">
        <v>84</v>
      </c>
      <c r="BZ6" s="153" t="s">
        <v>85</v>
      </c>
      <c r="CA6" s="153" t="s">
        <v>83</v>
      </c>
      <c r="CB6" s="153" t="s">
        <v>83</v>
      </c>
      <c r="CC6" s="153" t="s">
        <v>84</v>
      </c>
      <c r="CD6" s="153" t="s">
        <v>85</v>
      </c>
      <c r="CE6" s="153" t="s">
        <v>83</v>
      </c>
      <c r="CF6" s="153" t="s">
        <v>83</v>
      </c>
      <c r="CG6" s="153" t="s">
        <v>84</v>
      </c>
      <c r="CH6" s="153" t="s">
        <v>85</v>
      </c>
      <c r="CI6" s="153" t="s">
        <v>83</v>
      </c>
      <c r="CJ6" s="153" t="s">
        <v>83</v>
      </c>
      <c r="CK6" s="153" t="s">
        <v>84</v>
      </c>
      <c r="CL6" s="153" t="s">
        <v>85</v>
      </c>
      <c r="CM6" s="153" t="s">
        <v>83</v>
      </c>
      <c r="CN6" s="153" t="s">
        <v>83</v>
      </c>
      <c r="CO6" s="153" t="s">
        <v>84</v>
      </c>
      <c r="CP6" s="153" t="s">
        <v>85</v>
      </c>
      <c r="CQ6" s="153" t="s">
        <v>83</v>
      </c>
      <c r="CR6" s="153" t="s">
        <v>83</v>
      </c>
      <c r="CS6" s="153" t="s">
        <v>84</v>
      </c>
      <c r="CT6" s="153" t="s">
        <v>85</v>
      </c>
      <c r="CU6" s="153" t="s">
        <v>83</v>
      </c>
      <c r="CV6" s="153" t="s">
        <v>83</v>
      </c>
      <c r="CW6" s="153" t="s">
        <v>84</v>
      </c>
      <c r="CX6" s="153" t="s">
        <v>85</v>
      </c>
      <c r="CY6" s="153" t="s">
        <v>83</v>
      </c>
      <c r="CZ6" s="153" t="s">
        <v>83</v>
      </c>
      <c r="DA6" s="153" t="s">
        <v>84</v>
      </c>
      <c r="DB6" s="153" t="s">
        <v>85</v>
      </c>
      <c r="DC6" s="153" t="s">
        <v>83</v>
      </c>
      <c r="DD6" s="153" t="s">
        <v>83</v>
      </c>
      <c r="DE6" s="153" t="s">
        <v>84</v>
      </c>
      <c r="DF6" s="153" t="s">
        <v>85</v>
      </c>
      <c r="DG6" s="153" t="s">
        <v>83</v>
      </c>
      <c r="DH6" s="153" t="s">
        <v>83</v>
      </c>
      <c r="DI6" s="153" t="s">
        <v>84</v>
      </c>
      <c r="DJ6" s="153" t="s">
        <v>85</v>
      </c>
      <c r="DK6" s="153" t="s">
        <v>83</v>
      </c>
      <c r="DL6" s="153" t="s">
        <v>83</v>
      </c>
      <c r="DM6" s="153" t="s">
        <v>84</v>
      </c>
      <c r="DN6" s="153" t="s">
        <v>85</v>
      </c>
      <c r="DO6" s="153" t="s">
        <v>83</v>
      </c>
      <c r="DP6" s="153" t="s">
        <v>83</v>
      </c>
      <c r="DQ6" s="153" t="s">
        <v>84</v>
      </c>
      <c r="DR6" s="153" t="s">
        <v>85</v>
      </c>
      <c r="DS6" s="153" t="s">
        <v>83</v>
      </c>
      <c r="DT6" s="153" t="s">
        <v>83</v>
      </c>
      <c r="DU6" s="153" t="s">
        <v>84</v>
      </c>
      <c r="DV6" s="153" t="s">
        <v>85</v>
      </c>
      <c r="DW6" s="153" t="s">
        <v>83</v>
      </c>
      <c r="DX6" s="153" t="s">
        <v>83</v>
      </c>
      <c r="DY6" s="153" t="s">
        <v>84</v>
      </c>
      <c r="DZ6" s="153" t="s">
        <v>85</v>
      </c>
      <c r="EA6" s="153" t="s">
        <v>83</v>
      </c>
      <c r="EB6" s="153" t="s">
        <v>83</v>
      </c>
      <c r="EC6" s="153" t="s">
        <v>84</v>
      </c>
      <c r="ED6" s="153" t="s">
        <v>85</v>
      </c>
      <c r="EE6" s="153" t="s">
        <v>83</v>
      </c>
      <c r="EF6" s="153" t="s">
        <v>83</v>
      </c>
      <c r="EG6" s="153" t="s">
        <v>84</v>
      </c>
      <c r="EH6" s="153" t="s">
        <v>85</v>
      </c>
      <c r="EI6" s="153" t="s">
        <v>83</v>
      </c>
      <c r="EJ6" s="153" t="s">
        <v>83</v>
      </c>
      <c r="EK6" s="153" t="s">
        <v>84</v>
      </c>
      <c r="EL6" s="153" t="s">
        <v>85</v>
      </c>
      <c r="EM6" s="153" t="s">
        <v>83</v>
      </c>
      <c r="EN6" s="153" t="s">
        <v>83</v>
      </c>
      <c r="EO6" s="153" t="s">
        <v>84</v>
      </c>
      <c r="EP6" s="153" t="s">
        <v>85</v>
      </c>
      <c r="EQ6" s="153" t="s">
        <v>83</v>
      </c>
      <c r="ER6" s="62"/>
    </row>
    <row r="7" spans="1:148" s="20" customFormat="1" ht="15" x14ac:dyDescent="0.2">
      <c r="A7" s="19">
        <v>1</v>
      </c>
      <c r="B7" s="19">
        <v>2</v>
      </c>
      <c r="C7" s="19">
        <v>3</v>
      </c>
      <c r="D7" s="153">
        <f>C7+1</f>
        <v>4</v>
      </c>
      <c r="E7" s="153">
        <v>5</v>
      </c>
      <c r="F7" s="153">
        <v>6</v>
      </c>
      <c r="G7" s="153">
        <v>7</v>
      </c>
      <c r="H7" s="156">
        <v>8</v>
      </c>
      <c r="I7" s="156">
        <f>H7+1</f>
        <v>9</v>
      </c>
      <c r="J7" s="156">
        <f>I7+1</f>
        <v>10</v>
      </c>
      <c r="K7" s="156">
        <f>J7+1</f>
        <v>11</v>
      </c>
      <c r="L7" s="156">
        <v>8</v>
      </c>
      <c r="M7" s="156">
        <f>L7+1</f>
        <v>9</v>
      </c>
      <c r="N7" s="156">
        <f>M7+1</f>
        <v>10</v>
      </c>
      <c r="O7" s="156">
        <f>N7+1</f>
        <v>11</v>
      </c>
      <c r="P7" s="156">
        <v>8</v>
      </c>
      <c r="Q7" s="156">
        <f>P7+1</f>
        <v>9</v>
      </c>
      <c r="R7" s="156">
        <f>Q7+1</f>
        <v>10</v>
      </c>
      <c r="S7" s="156">
        <f>R7+1</f>
        <v>11</v>
      </c>
      <c r="T7" s="156">
        <v>4</v>
      </c>
      <c r="U7" s="156">
        <f>T7+1</f>
        <v>5</v>
      </c>
      <c r="V7" s="156">
        <f>U7+1</f>
        <v>6</v>
      </c>
      <c r="W7" s="156">
        <v>5</v>
      </c>
      <c r="X7" s="156">
        <v>4</v>
      </c>
      <c r="Y7" s="156">
        <v>5</v>
      </c>
      <c r="Z7" s="156">
        <v>6</v>
      </c>
      <c r="AA7" s="156">
        <v>7</v>
      </c>
      <c r="AB7" s="156">
        <f t="shared" ref="AB7:AT7" si="0">AA7+1</f>
        <v>8</v>
      </c>
      <c r="AC7" s="153">
        <f t="shared" si="0"/>
        <v>9</v>
      </c>
      <c r="AD7" s="153">
        <f t="shared" si="0"/>
        <v>10</v>
      </c>
      <c r="AE7" s="153">
        <f t="shared" si="0"/>
        <v>11</v>
      </c>
      <c r="AF7" s="153">
        <f t="shared" si="0"/>
        <v>12</v>
      </c>
      <c r="AG7" s="153">
        <f t="shared" si="0"/>
        <v>13</v>
      </c>
      <c r="AH7" s="153">
        <f t="shared" si="0"/>
        <v>14</v>
      </c>
      <c r="AI7" s="153">
        <f t="shared" si="0"/>
        <v>15</v>
      </c>
      <c r="AJ7" s="153">
        <f t="shared" si="0"/>
        <v>16</v>
      </c>
      <c r="AK7" s="153">
        <f t="shared" si="0"/>
        <v>17</v>
      </c>
      <c r="AL7" s="153">
        <f t="shared" si="0"/>
        <v>18</v>
      </c>
      <c r="AM7" s="154">
        <f t="shared" si="0"/>
        <v>19</v>
      </c>
      <c r="AN7" s="153">
        <f t="shared" si="0"/>
        <v>20</v>
      </c>
      <c r="AO7" s="153">
        <f t="shared" si="0"/>
        <v>21</v>
      </c>
      <c r="AP7" s="153">
        <f t="shared" si="0"/>
        <v>22</v>
      </c>
      <c r="AQ7" s="153">
        <f t="shared" si="0"/>
        <v>23</v>
      </c>
      <c r="AR7" s="153">
        <v>10</v>
      </c>
      <c r="AS7" s="153">
        <f t="shared" si="0"/>
        <v>11</v>
      </c>
      <c r="AT7" s="153">
        <f t="shared" si="0"/>
        <v>12</v>
      </c>
      <c r="AU7" s="153">
        <v>11</v>
      </c>
      <c r="AV7" s="153">
        <v>8</v>
      </c>
      <c r="AW7" s="153">
        <v>9</v>
      </c>
      <c r="AX7" s="153">
        <v>10</v>
      </c>
      <c r="AY7" s="153">
        <v>11</v>
      </c>
      <c r="AZ7" s="153">
        <f t="shared" ref="AZ7:BS7" si="1">AY7+1</f>
        <v>12</v>
      </c>
      <c r="BA7" s="153">
        <f t="shared" si="1"/>
        <v>13</v>
      </c>
      <c r="BB7" s="153">
        <f t="shared" si="1"/>
        <v>14</v>
      </c>
      <c r="BC7" s="153">
        <f t="shared" si="1"/>
        <v>15</v>
      </c>
      <c r="BD7" s="153">
        <f t="shared" si="1"/>
        <v>16</v>
      </c>
      <c r="BE7" s="153">
        <f t="shared" si="1"/>
        <v>17</v>
      </c>
      <c r="BF7" s="153">
        <f t="shared" si="1"/>
        <v>18</v>
      </c>
      <c r="BG7" s="153">
        <f t="shared" si="1"/>
        <v>19</v>
      </c>
      <c r="BH7" s="153">
        <f t="shared" si="1"/>
        <v>20</v>
      </c>
      <c r="BI7" s="153">
        <f t="shared" si="1"/>
        <v>21</v>
      </c>
      <c r="BJ7" s="153">
        <f t="shared" si="1"/>
        <v>22</v>
      </c>
      <c r="BK7" s="153">
        <f t="shared" si="1"/>
        <v>23</v>
      </c>
      <c r="BL7" s="153">
        <f t="shared" si="1"/>
        <v>24</v>
      </c>
      <c r="BM7" s="153">
        <f t="shared" si="1"/>
        <v>25</v>
      </c>
      <c r="BN7" s="153">
        <f t="shared" si="1"/>
        <v>26</v>
      </c>
      <c r="BO7" s="153">
        <f t="shared" si="1"/>
        <v>27</v>
      </c>
      <c r="BP7" s="153">
        <f>BK7+1</f>
        <v>24</v>
      </c>
      <c r="BQ7" s="153">
        <f t="shared" si="1"/>
        <v>25</v>
      </c>
      <c r="BR7" s="153">
        <f t="shared" si="1"/>
        <v>26</v>
      </c>
      <c r="BS7" s="153">
        <f t="shared" si="1"/>
        <v>27</v>
      </c>
      <c r="BT7" s="153">
        <v>12</v>
      </c>
      <c r="BU7" s="153">
        <v>13</v>
      </c>
      <c r="BV7" s="153">
        <v>14</v>
      </c>
      <c r="BW7" s="153">
        <v>15</v>
      </c>
      <c r="BX7" s="153">
        <f t="shared" ref="BX7:CQ7" si="2">BW7+1</f>
        <v>16</v>
      </c>
      <c r="BY7" s="153">
        <f t="shared" si="2"/>
        <v>17</v>
      </c>
      <c r="BZ7" s="153">
        <f t="shared" si="2"/>
        <v>18</v>
      </c>
      <c r="CA7" s="153">
        <f t="shared" si="2"/>
        <v>19</v>
      </c>
      <c r="CB7" s="153">
        <f t="shared" si="2"/>
        <v>20</v>
      </c>
      <c r="CC7" s="153">
        <f t="shared" si="2"/>
        <v>21</v>
      </c>
      <c r="CD7" s="153">
        <f t="shared" si="2"/>
        <v>22</v>
      </c>
      <c r="CE7" s="153">
        <f t="shared" si="2"/>
        <v>23</v>
      </c>
      <c r="CF7" s="153">
        <f t="shared" si="2"/>
        <v>24</v>
      </c>
      <c r="CG7" s="153">
        <f t="shared" si="2"/>
        <v>25</v>
      </c>
      <c r="CH7" s="153">
        <f t="shared" si="2"/>
        <v>26</v>
      </c>
      <c r="CI7" s="153">
        <f t="shared" si="2"/>
        <v>27</v>
      </c>
      <c r="CJ7" s="153">
        <f t="shared" si="2"/>
        <v>28</v>
      </c>
      <c r="CK7" s="153">
        <f t="shared" si="2"/>
        <v>29</v>
      </c>
      <c r="CL7" s="153">
        <f t="shared" si="2"/>
        <v>30</v>
      </c>
      <c r="CM7" s="153">
        <f t="shared" si="2"/>
        <v>31</v>
      </c>
      <c r="CN7" s="153">
        <f>CI7+1</f>
        <v>28</v>
      </c>
      <c r="CO7" s="153">
        <f t="shared" si="2"/>
        <v>29</v>
      </c>
      <c r="CP7" s="153">
        <f t="shared" si="2"/>
        <v>30</v>
      </c>
      <c r="CQ7" s="153">
        <f t="shared" si="2"/>
        <v>31</v>
      </c>
      <c r="CR7" s="153">
        <v>16</v>
      </c>
      <c r="CS7" s="153">
        <v>17</v>
      </c>
      <c r="CT7" s="153">
        <v>18</v>
      </c>
      <c r="CU7" s="153">
        <v>19</v>
      </c>
      <c r="CV7" s="153">
        <f t="shared" ref="CV7:DO7" si="3">CU7+1</f>
        <v>20</v>
      </c>
      <c r="CW7" s="153">
        <f t="shared" si="3"/>
        <v>21</v>
      </c>
      <c r="CX7" s="153">
        <f t="shared" si="3"/>
        <v>22</v>
      </c>
      <c r="CY7" s="153">
        <f t="shared" si="3"/>
        <v>23</v>
      </c>
      <c r="CZ7" s="153">
        <f t="shared" si="3"/>
        <v>24</v>
      </c>
      <c r="DA7" s="153">
        <f t="shared" si="3"/>
        <v>25</v>
      </c>
      <c r="DB7" s="153">
        <f t="shared" si="3"/>
        <v>26</v>
      </c>
      <c r="DC7" s="153">
        <f t="shared" si="3"/>
        <v>27</v>
      </c>
      <c r="DD7" s="153">
        <f t="shared" si="3"/>
        <v>28</v>
      </c>
      <c r="DE7" s="153">
        <f t="shared" si="3"/>
        <v>29</v>
      </c>
      <c r="DF7" s="153">
        <f t="shared" si="3"/>
        <v>30</v>
      </c>
      <c r="DG7" s="153">
        <f t="shared" si="3"/>
        <v>31</v>
      </c>
      <c r="DH7" s="153">
        <f t="shared" si="3"/>
        <v>32</v>
      </c>
      <c r="DI7" s="153">
        <f t="shared" si="3"/>
        <v>33</v>
      </c>
      <c r="DJ7" s="153">
        <f t="shared" si="3"/>
        <v>34</v>
      </c>
      <c r="DK7" s="153">
        <f t="shared" si="3"/>
        <v>35</v>
      </c>
      <c r="DL7" s="153">
        <f>DG7+1</f>
        <v>32</v>
      </c>
      <c r="DM7" s="153">
        <f t="shared" si="3"/>
        <v>33</v>
      </c>
      <c r="DN7" s="153">
        <f t="shared" si="3"/>
        <v>34</v>
      </c>
      <c r="DO7" s="153">
        <f t="shared" si="3"/>
        <v>35</v>
      </c>
      <c r="DP7" s="153">
        <v>20</v>
      </c>
      <c r="DQ7" s="153">
        <v>22</v>
      </c>
      <c r="DR7" s="153">
        <v>22</v>
      </c>
      <c r="DS7" s="153">
        <v>23</v>
      </c>
      <c r="DT7" s="153">
        <f>DP7+1</f>
        <v>21</v>
      </c>
      <c r="DU7" s="153">
        <f t="shared" ref="DU7:EA7" si="4">DT7+1</f>
        <v>22</v>
      </c>
      <c r="DV7" s="153">
        <f t="shared" si="4"/>
        <v>23</v>
      </c>
      <c r="DW7" s="153">
        <f t="shared" si="4"/>
        <v>24</v>
      </c>
      <c r="DX7" s="153">
        <f t="shared" si="4"/>
        <v>25</v>
      </c>
      <c r="DY7" s="153">
        <f t="shared" si="4"/>
        <v>26</v>
      </c>
      <c r="DZ7" s="153">
        <f t="shared" si="4"/>
        <v>27</v>
      </c>
      <c r="EA7" s="153">
        <f t="shared" si="4"/>
        <v>28</v>
      </c>
      <c r="EB7" s="153">
        <f t="shared" ref="EB7:EM7" si="5">EA7+1</f>
        <v>29</v>
      </c>
      <c r="EC7" s="153">
        <f t="shared" si="5"/>
        <v>30</v>
      </c>
      <c r="ED7" s="153">
        <f t="shared" si="5"/>
        <v>31</v>
      </c>
      <c r="EE7" s="154">
        <f t="shared" si="5"/>
        <v>32</v>
      </c>
      <c r="EF7" s="153">
        <f t="shared" si="5"/>
        <v>33</v>
      </c>
      <c r="EG7" s="153">
        <f t="shared" si="5"/>
        <v>34</v>
      </c>
      <c r="EH7" s="153">
        <f t="shared" si="5"/>
        <v>35</v>
      </c>
      <c r="EI7" s="153">
        <f t="shared" si="5"/>
        <v>36</v>
      </c>
      <c r="EJ7" s="153">
        <f>EE7+1</f>
        <v>33</v>
      </c>
      <c r="EK7" s="153">
        <f t="shared" si="5"/>
        <v>34</v>
      </c>
      <c r="EL7" s="153">
        <f t="shared" si="5"/>
        <v>35</v>
      </c>
      <c r="EM7" s="153">
        <f t="shared" si="5"/>
        <v>36</v>
      </c>
      <c r="EN7" s="153">
        <v>24</v>
      </c>
      <c r="EO7" s="153">
        <v>25</v>
      </c>
      <c r="EP7" s="153">
        <f>EO7+1</f>
        <v>26</v>
      </c>
      <c r="EQ7" s="153">
        <f>EP7+1</f>
        <v>27</v>
      </c>
      <c r="ER7" s="63"/>
    </row>
    <row r="8" spans="1:148" s="20" customFormat="1" ht="28.5" x14ac:dyDescent="0.2">
      <c r="A8" s="21" t="s">
        <v>6</v>
      </c>
      <c r="B8" s="22" t="s">
        <v>86</v>
      </c>
      <c r="C8" s="23" t="s">
        <v>87</v>
      </c>
      <c r="D8" s="157"/>
      <c r="E8" s="158"/>
      <c r="F8" s="159"/>
      <c r="G8" s="160"/>
      <c r="H8" s="157"/>
      <c r="I8" s="161"/>
      <c r="J8" s="162"/>
      <c r="K8" s="163"/>
      <c r="L8" s="157"/>
      <c r="M8" s="161"/>
      <c r="N8" s="162"/>
      <c r="O8" s="163"/>
      <c r="P8" s="157"/>
      <c r="Q8" s="158"/>
      <c r="R8" s="159"/>
      <c r="S8" s="160"/>
      <c r="T8" s="157"/>
      <c r="U8" s="161"/>
      <c r="V8" s="162"/>
      <c r="W8" s="163"/>
      <c r="X8" s="157"/>
      <c r="Y8" s="161"/>
      <c r="Z8" s="162"/>
      <c r="AA8" s="163"/>
      <c r="AB8" s="157">
        <v>41324.958999999995</v>
      </c>
      <c r="AC8" s="158">
        <v>18233.813999999998</v>
      </c>
      <c r="AD8" s="159">
        <v>18193.099000000002</v>
      </c>
      <c r="AE8" s="160">
        <v>36426.913</v>
      </c>
      <c r="AF8" s="157">
        <v>41324.958999999995</v>
      </c>
      <c r="AG8" s="161">
        <v>15849.022999999999</v>
      </c>
      <c r="AH8" s="162">
        <v>15112.44</v>
      </c>
      <c r="AI8" s="163">
        <v>30961.463</v>
      </c>
      <c r="AJ8" s="157">
        <v>39279.288</v>
      </c>
      <c r="AK8" s="161">
        <v>0</v>
      </c>
      <c r="AL8" s="162">
        <v>0</v>
      </c>
      <c r="AM8" s="163">
        <v>0</v>
      </c>
      <c r="AN8" s="157">
        <v>35527.972000000002</v>
      </c>
      <c r="AO8" s="161">
        <v>14827.508999999998</v>
      </c>
      <c r="AP8" s="162">
        <v>13924.32986419963</v>
      </c>
      <c r="AQ8" s="163">
        <v>28751.838864199628</v>
      </c>
      <c r="AR8" s="157">
        <v>32417.704000000002</v>
      </c>
      <c r="AS8" s="161">
        <v>14750.087999999998</v>
      </c>
      <c r="AT8" s="162">
        <v>15161.880000000003</v>
      </c>
      <c r="AU8" s="163">
        <v>29911.968000000001</v>
      </c>
      <c r="AV8" s="157">
        <v>29509.517</v>
      </c>
      <c r="AW8" s="163">
        <v>13056.609</v>
      </c>
      <c r="AX8" s="163">
        <v>11732.493</v>
      </c>
      <c r="AY8" s="160">
        <v>24789.101999999999</v>
      </c>
      <c r="AZ8" s="157">
        <v>19883.667000000001</v>
      </c>
      <c r="BA8" s="158">
        <v>9730</v>
      </c>
      <c r="BB8" s="159">
        <v>8691</v>
      </c>
      <c r="BC8" s="164">
        <v>18421</v>
      </c>
      <c r="BD8" s="157">
        <v>19883.667000000001</v>
      </c>
      <c r="BE8" s="161">
        <v>8817</v>
      </c>
      <c r="BF8" s="162">
        <v>7941</v>
      </c>
      <c r="BG8" s="165">
        <v>16758</v>
      </c>
      <c r="BH8" s="157">
        <v>19146.857</v>
      </c>
      <c r="BI8" s="161">
        <v>0</v>
      </c>
      <c r="BJ8" s="162">
        <v>0</v>
      </c>
      <c r="BK8" s="163">
        <v>0</v>
      </c>
      <c r="BL8" s="157">
        <v>18203.667000000001</v>
      </c>
      <c r="BM8" s="158">
        <v>8660</v>
      </c>
      <c r="BN8" s="159">
        <v>7447</v>
      </c>
      <c r="BO8" s="160">
        <v>16107</v>
      </c>
      <c r="BP8" s="157">
        <v>17415.332999999999</v>
      </c>
      <c r="BQ8" s="161">
        <v>8123</v>
      </c>
      <c r="BR8" s="162">
        <v>7414</v>
      </c>
      <c r="BS8" s="163">
        <v>15537</v>
      </c>
      <c r="BT8" s="157">
        <v>16237</v>
      </c>
      <c r="BU8" s="161">
        <v>7485</v>
      </c>
      <c r="BV8" s="162">
        <v>6984</v>
      </c>
      <c r="BW8" s="163">
        <v>14469</v>
      </c>
      <c r="BX8" s="157">
        <v>32734.050000000003</v>
      </c>
      <c r="BY8" s="158">
        <v>15334.924000000001</v>
      </c>
      <c r="BZ8" s="159">
        <v>13627.937</v>
      </c>
      <c r="CA8" s="160">
        <v>28962.861000000001</v>
      </c>
      <c r="CB8" s="157">
        <v>32734.050000000003</v>
      </c>
      <c r="CC8" s="161">
        <v>13603.849000000002</v>
      </c>
      <c r="CD8" s="162">
        <v>13544.665000000001</v>
      </c>
      <c r="CE8" s="163">
        <v>27148.514000000003</v>
      </c>
      <c r="CF8" s="157">
        <v>30918.138999999996</v>
      </c>
      <c r="CG8" s="161">
        <v>0</v>
      </c>
      <c r="CH8" s="162">
        <v>0</v>
      </c>
      <c r="CI8" s="163">
        <v>0</v>
      </c>
      <c r="CJ8" s="157">
        <v>29658.508999999998</v>
      </c>
      <c r="CK8" s="161">
        <v>13456.791000000001</v>
      </c>
      <c r="CL8" s="162">
        <v>13635.141</v>
      </c>
      <c r="CM8" s="163">
        <v>27091.932000000001</v>
      </c>
      <c r="CN8" s="157">
        <v>27361.909</v>
      </c>
      <c r="CO8" s="161">
        <v>12779.259</v>
      </c>
      <c r="CP8" s="162">
        <v>12658.887000000001</v>
      </c>
      <c r="CQ8" s="163">
        <v>25438.146000000001</v>
      </c>
      <c r="CR8" s="157">
        <v>26168.143</v>
      </c>
      <c r="CS8" s="161">
        <v>13980.800999999999</v>
      </c>
      <c r="CT8" s="162">
        <v>13666.203</v>
      </c>
      <c r="CU8" s="163">
        <v>27647.004000000001</v>
      </c>
      <c r="CV8" s="157">
        <v>26938.349000000002</v>
      </c>
      <c r="CW8" s="158">
        <v>10365.67</v>
      </c>
      <c r="CX8" s="159">
        <v>9838.0640000000003</v>
      </c>
      <c r="CY8" s="160">
        <v>20203.734</v>
      </c>
      <c r="CZ8" s="157">
        <v>24805.870999999999</v>
      </c>
      <c r="DA8" s="161">
        <v>9782.0840000000007</v>
      </c>
      <c r="DB8" s="162">
        <v>10330.288000000002</v>
      </c>
      <c r="DC8" s="163">
        <v>20112.372000000003</v>
      </c>
      <c r="DD8" s="157">
        <v>22941.848000000002</v>
      </c>
      <c r="DE8" s="161">
        <v>0</v>
      </c>
      <c r="DF8" s="162">
        <v>0</v>
      </c>
      <c r="DG8" s="163">
        <v>0</v>
      </c>
      <c r="DH8" s="157">
        <v>21288.136999999999</v>
      </c>
      <c r="DI8" s="161">
        <v>8965.9840000000004</v>
      </c>
      <c r="DJ8" s="162">
        <v>8895.8279999999977</v>
      </c>
      <c r="DK8" s="163">
        <v>17861.811999999998</v>
      </c>
      <c r="DL8" s="157">
        <v>19916.398000000001</v>
      </c>
      <c r="DM8" s="161">
        <v>9057.8279999999995</v>
      </c>
      <c r="DN8" s="162">
        <v>6988.6620000000003</v>
      </c>
      <c r="DO8" s="163">
        <v>16046.49</v>
      </c>
      <c r="DP8" s="157">
        <v>17780.463</v>
      </c>
      <c r="DQ8" s="161">
        <v>7256.7820000000002</v>
      </c>
      <c r="DR8" s="162">
        <v>7429.7109999999993</v>
      </c>
      <c r="DS8" s="163">
        <v>14686.492999999999</v>
      </c>
      <c r="DT8" s="157">
        <v>27733.038</v>
      </c>
      <c r="DU8" s="158">
        <v>13121.49</v>
      </c>
      <c r="DV8" s="159">
        <v>13103.072999999999</v>
      </c>
      <c r="DW8" s="164">
        <v>26224.562999999998</v>
      </c>
      <c r="DX8" s="157">
        <v>27733.038</v>
      </c>
      <c r="DY8" s="161">
        <v>12743.746999999999</v>
      </c>
      <c r="DZ8" s="162">
        <v>12158.178</v>
      </c>
      <c r="EA8" s="163">
        <v>24901.924999999999</v>
      </c>
      <c r="EB8" s="157">
        <v>27192.629000000001</v>
      </c>
      <c r="EC8" s="161">
        <v>0</v>
      </c>
      <c r="ED8" s="162">
        <v>0</v>
      </c>
      <c r="EE8" s="163">
        <v>0</v>
      </c>
      <c r="EF8" s="157">
        <v>27192.629000000001</v>
      </c>
      <c r="EG8" s="161">
        <v>12635.255000000001</v>
      </c>
      <c r="EH8" s="162">
        <v>12388.443000000003</v>
      </c>
      <c r="EI8" s="163">
        <v>25023.698000000004</v>
      </c>
      <c r="EJ8" s="157">
        <v>25327.455999999998</v>
      </c>
      <c r="EK8" s="161">
        <v>12189.535</v>
      </c>
      <c r="EL8" s="162">
        <v>12461.305000000004</v>
      </c>
      <c r="EM8" s="163">
        <v>24650.840000000004</v>
      </c>
      <c r="EN8" s="157">
        <v>24843.473000000002</v>
      </c>
      <c r="EO8" s="161">
        <v>12393.919</v>
      </c>
      <c r="EP8" s="162">
        <v>12985.465</v>
      </c>
      <c r="EQ8" s="165">
        <v>25379.383999999998</v>
      </c>
      <c r="ER8" s="63"/>
    </row>
    <row r="9" spans="1:148" s="20" customFormat="1" ht="15" x14ac:dyDescent="0.2">
      <c r="A9" s="24" t="s">
        <v>30</v>
      </c>
      <c r="B9" s="25" t="s">
        <v>120</v>
      </c>
      <c r="C9" s="26" t="s">
        <v>87</v>
      </c>
      <c r="D9" s="166"/>
      <c r="E9" s="167"/>
      <c r="F9" s="168"/>
      <c r="G9" s="169"/>
      <c r="H9" s="170"/>
      <c r="I9" s="171"/>
      <c r="J9" s="172"/>
      <c r="K9" s="173"/>
      <c r="L9" s="170"/>
      <c r="M9" s="171"/>
      <c r="N9" s="172"/>
      <c r="O9" s="173"/>
      <c r="P9" s="170"/>
      <c r="Q9" s="167"/>
      <c r="R9" s="168"/>
      <c r="S9" s="169"/>
      <c r="T9" s="170"/>
      <c r="U9" s="171"/>
      <c r="V9" s="172"/>
      <c r="W9" s="173"/>
      <c r="X9" s="170"/>
      <c r="Y9" s="171"/>
      <c r="Z9" s="172"/>
      <c r="AA9" s="173"/>
      <c r="AB9" s="166">
        <v>41324.958999999995</v>
      </c>
      <c r="AC9" s="167">
        <v>18233.813999999998</v>
      </c>
      <c r="AD9" s="168">
        <v>18193.099000000002</v>
      </c>
      <c r="AE9" s="169">
        <v>36426.913</v>
      </c>
      <c r="AF9" s="170">
        <v>41324.958999999995</v>
      </c>
      <c r="AG9" s="171">
        <v>15849.022999999999</v>
      </c>
      <c r="AH9" s="172">
        <v>15112.44</v>
      </c>
      <c r="AI9" s="173">
        <v>30961.463</v>
      </c>
      <c r="AJ9" s="170">
        <v>39279.288</v>
      </c>
      <c r="AK9" s="171"/>
      <c r="AL9" s="172"/>
      <c r="AM9" s="173">
        <v>0</v>
      </c>
      <c r="AN9" s="170">
        <v>35527.972000000002</v>
      </c>
      <c r="AO9" s="171">
        <v>14827.508999999998</v>
      </c>
      <c r="AP9" s="172">
        <v>13924.32986419963</v>
      </c>
      <c r="AQ9" s="173">
        <v>28751.838864199628</v>
      </c>
      <c r="AR9" s="170">
        <v>32417.704000000002</v>
      </c>
      <c r="AS9" s="171">
        <v>14750.087999999998</v>
      </c>
      <c r="AT9" s="172">
        <v>15161.880000000003</v>
      </c>
      <c r="AU9" s="173">
        <v>29911.968000000001</v>
      </c>
      <c r="AV9" s="170">
        <v>29509.517</v>
      </c>
      <c r="AW9" s="171">
        <v>13056.609</v>
      </c>
      <c r="AX9" s="172">
        <v>11732.493</v>
      </c>
      <c r="AY9" s="169">
        <v>24789.101999999999</v>
      </c>
      <c r="AZ9" s="166"/>
      <c r="BA9" s="167"/>
      <c r="BB9" s="168"/>
      <c r="BC9" s="174"/>
      <c r="BD9" s="170"/>
      <c r="BE9" s="171"/>
      <c r="BF9" s="172"/>
      <c r="BG9" s="175">
        <v>0</v>
      </c>
      <c r="BH9" s="170"/>
      <c r="BI9" s="171"/>
      <c r="BJ9" s="172"/>
      <c r="BK9" s="173">
        <v>0</v>
      </c>
      <c r="BL9" s="170"/>
      <c r="BM9" s="167"/>
      <c r="BN9" s="168"/>
      <c r="BO9" s="169">
        <v>0</v>
      </c>
      <c r="BP9" s="170"/>
      <c r="BQ9" s="171"/>
      <c r="BR9" s="172"/>
      <c r="BS9" s="173">
        <v>0</v>
      </c>
      <c r="BT9" s="170"/>
      <c r="BU9" s="171"/>
      <c r="BV9" s="172"/>
      <c r="BW9" s="175"/>
      <c r="BX9" s="166"/>
      <c r="BY9" s="167"/>
      <c r="BZ9" s="168"/>
      <c r="CA9" s="169"/>
      <c r="CB9" s="170"/>
      <c r="CC9" s="171"/>
      <c r="CD9" s="172"/>
      <c r="CE9" s="173"/>
      <c r="CF9" s="170"/>
      <c r="CG9" s="171"/>
      <c r="CH9" s="172"/>
      <c r="CI9" s="173"/>
      <c r="CJ9" s="170"/>
      <c r="CK9" s="171"/>
      <c r="CL9" s="172"/>
      <c r="CM9" s="173"/>
      <c r="CN9" s="170"/>
      <c r="CO9" s="171"/>
      <c r="CP9" s="172"/>
      <c r="CQ9" s="173"/>
      <c r="CR9" s="170"/>
      <c r="CS9" s="171"/>
      <c r="CT9" s="172"/>
      <c r="CU9" s="173"/>
      <c r="CV9" s="166"/>
      <c r="CW9" s="167"/>
      <c r="CX9" s="168"/>
      <c r="CY9" s="169"/>
      <c r="CZ9" s="170"/>
      <c r="DA9" s="171"/>
      <c r="DB9" s="172"/>
      <c r="DC9" s="173"/>
      <c r="DD9" s="170"/>
      <c r="DE9" s="171"/>
      <c r="DF9" s="172"/>
      <c r="DG9" s="173"/>
      <c r="DH9" s="170"/>
      <c r="DI9" s="171"/>
      <c r="DJ9" s="172"/>
      <c r="DK9" s="173"/>
      <c r="DL9" s="170"/>
      <c r="DM9" s="171"/>
      <c r="DN9" s="172"/>
      <c r="DO9" s="173"/>
      <c r="DP9" s="170"/>
      <c r="DQ9" s="171"/>
      <c r="DR9" s="172"/>
      <c r="DS9" s="173"/>
      <c r="DT9" s="166"/>
      <c r="DU9" s="167"/>
      <c r="DV9" s="168"/>
      <c r="DW9" s="174"/>
      <c r="DX9" s="170"/>
      <c r="DY9" s="171"/>
      <c r="DZ9" s="172"/>
      <c r="EA9" s="173"/>
      <c r="EB9" s="170"/>
      <c r="EC9" s="171"/>
      <c r="ED9" s="172"/>
      <c r="EE9" s="173"/>
      <c r="EF9" s="170"/>
      <c r="EG9" s="171"/>
      <c r="EH9" s="172"/>
      <c r="EI9" s="173"/>
      <c r="EJ9" s="170"/>
      <c r="EK9" s="171"/>
      <c r="EL9" s="172"/>
      <c r="EM9" s="173">
        <v>0</v>
      </c>
      <c r="EN9" s="170"/>
      <c r="EO9" s="171"/>
      <c r="EP9" s="172"/>
      <c r="EQ9" s="175">
        <v>0</v>
      </c>
      <c r="ER9" s="63"/>
    </row>
    <row r="10" spans="1:148" s="20" customFormat="1" ht="15" x14ac:dyDescent="0.2">
      <c r="A10" s="27" t="s">
        <v>31</v>
      </c>
      <c r="B10" s="28" t="s">
        <v>88</v>
      </c>
      <c r="C10" s="29" t="s">
        <v>87</v>
      </c>
      <c r="D10" s="170"/>
      <c r="E10" s="176"/>
      <c r="F10" s="177"/>
      <c r="G10" s="178"/>
      <c r="H10" s="170"/>
      <c r="I10" s="179"/>
      <c r="J10" s="180"/>
      <c r="K10" s="181"/>
      <c r="L10" s="170"/>
      <c r="M10" s="179"/>
      <c r="N10" s="180"/>
      <c r="O10" s="181"/>
      <c r="P10" s="170"/>
      <c r="Q10" s="176"/>
      <c r="R10" s="177"/>
      <c r="S10" s="178"/>
      <c r="T10" s="170"/>
      <c r="U10" s="179"/>
      <c r="V10" s="180"/>
      <c r="W10" s="181"/>
      <c r="X10" s="170"/>
      <c r="Y10" s="179"/>
      <c r="Z10" s="180"/>
      <c r="AA10" s="181"/>
      <c r="AB10" s="170"/>
      <c r="AC10" s="176"/>
      <c r="AD10" s="177"/>
      <c r="AE10" s="178"/>
      <c r="AF10" s="170"/>
      <c r="AG10" s="179"/>
      <c r="AH10" s="180"/>
      <c r="AI10" s="181"/>
      <c r="AJ10" s="170"/>
      <c r="AK10" s="179"/>
      <c r="AL10" s="180"/>
      <c r="AM10" s="181"/>
      <c r="AN10" s="170"/>
      <c r="AO10" s="179"/>
      <c r="AP10" s="180"/>
      <c r="AQ10" s="181"/>
      <c r="AR10" s="170"/>
      <c r="AS10" s="179"/>
      <c r="AT10" s="180"/>
      <c r="AU10" s="181"/>
      <c r="AV10" s="170"/>
      <c r="AW10" s="179"/>
      <c r="AX10" s="180"/>
      <c r="AY10" s="178"/>
      <c r="AZ10" s="170">
        <v>19883.667000000001</v>
      </c>
      <c r="BA10" s="176">
        <v>9730</v>
      </c>
      <c r="BB10" s="177">
        <v>8691</v>
      </c>
      <c r="BC10" s="182">
        <v>18421</v>
      </c>
      <c r="BD10" s="170">
        <v>19883.667000000001</v>
      </c>
      <c r="BE10" s="179">
        <v>8817</v>
      </c>
      <c r="BF10" s="180">
        <v>7941</v>
      </c>
      <c r="BG10" s="183">
        <v>16758</v>
      </c>
      <c r="BH10" s="170">
        <v>19146.857</v>
      </c>
      <c r="BI10" s="179"/>
      <c r="BJ10" s="180"/>
      <c r="BK10" s="181">
        <v>0</v>
      </c>
      <c r="BL10" s="170">
        <v>18203.667000000001</v>
      </c>
      <c r="BM10" s="176">
        <v>8660</v>
      </c>
      <c r="BN10" s="177">
        <v>7447</v>
      </c>
      <c r="BO10" s="178">
        <v>16107</v>
      </c>
      <c r="BP10" s="170">
        <v>17415.332999999999</v>
      </c>
      <c r="BQ10" s="179">
        <v>8123</v>
      </c>
      <c r="BR10" s="180">
        <v>7414</v>
      </c>
      <c r="BS10" s="181">
        <v>15537</v>
      </c>
      <c r="BT10" s="170">
        <v>16237</v>
      </c>
      <c r="BU10" s="179">
        <v>7485</v>
      </c>
      <c r="BV10" s="180">
        <v>6984</v>
      </c>
      <c r="BW10" s="181">
        <v>14469</v>
      </c>
      <c r="BX10" s="170">
        <v>32734.050000000003</v>
      </c>
      <c r="BY10" s="176">
        <v>15334.924000000001</v>
      </c>
      <c r="BZ10" s="177">
        <v>13627.937</v>
      </c>
      <c r="CA10" s="178">
        <v>28962.861000000001</v>
      </c>
      <c r="CB10" s="170">
        <v>32734.050000000003</v>
      </c>
      <c r="CC10" s="179">
        <v>13603.849000000002</v>
      </c>
      <c r="CD10" s="180">
        <v>13544.665000000001</v>
      </c>
      <c r="CE10" s="181">
        <v>27148.514000000003</v>
      </c>
      <c r="CF10" s="170">
        <v>30918.138999999996</v>
      </c>
      <c r="CG10" s="179"/>
      <c r="CH10" s="180"/>
      <c r="CI10" s="181">
        <v>0</v>
      </c>
      <c r="CJ10" s="170">
        <v>29658.508999999998</v>
      </c>
      <c r="CK10" s="179">
        <v>13456.791000000001</v>
      </c>
      <c r="CL10" s="180">
        <v>13635.141</v>
      </c>
      <c r="CM10" s="181">
        <v>27091.932000000001</v>
      </c>
      <c r="CN10" s="170">
        <v>27361.909</v>
      </c>
      <c r="CO10" s="179">
        <v>12779.259</v>
      </c>
      <c r="CP10" s="180">
        <v>12658.887000000001</v>
      </c>
      <c r="CQ10" s="181">
        <v>25438.146000000001</v>
      </c>
      <c r="CR10" s="170">
        <v>26168.143</v>
      </c>
      <c r="CS10" s="179">
        <v>13980.800999999999</v>
      </c>
      <c r="CT10" s="180">
        <v>13666.203</v>
      </c>
      <c r="CU10" s="181">
        <v>27647.004000000001</v>
      </c>
      <c r="CV10" s="170">
        <v>26938.349000000002</v>
      </c>
      <c r="CW10" s="176">
        <v>10365.67</v>
      </c>
      <c r="CX10" s="177">
        <v>9838.0640000000003</v>
      </c>
      <c r="CY10" s="178">
        <v>20203.734</v>
      </c>
      <c r="CZ10" s="170">
        <v>24805.870999999999</v>
      </c>
      <c r="DA10" s="179">
        <v>9782.0840000000007</v>
      </c>
      <c r="DB10" s="180">
        <v>10330.288000000002</v>
      </c>
      <c r="DC10" s="181">
        <v>20112.372000000003</v>
      </c>
      <c r="DD10" s="170">
        <v>22941.848000000002</v>
      </c>
      <c r="DE10" s="179"/>
      <c r="DF10" s="180"/>
      <c r="DG10" s="181">
        <v>0</v>
      </c>
      <c r="DH10" s="170">
        <v>21288.136999999999</v>
      </c>
      <c r="DI10" s="179">
        <v>8965.9840000000004</v>
      </c>
      <c r="DJ10" s="180">
        <v>8895.8279999999977</v>
      </c>
      <c r="DK10" s="181">
        <v>17861.811999999998</v>
      </c>
      <c r="DL10" s="170">
        <v>19916.398000000001</v>
      </c>
      <c r="DM10" s="179">
        <v>9057.8279999999995</v>
      </c>
      <c r="DN10" s="180">
        <v>6988.6620000000003</v>
      </c>
      <c r="DO10" s="181">
        <v>16046.49</v>
      </c>
      <c r="DP10" s="170">
        <v>17780.463</v>
      </c>
      <c r="DQ10" s="179">
        <v>7256.7820000000002</v>
      </c>
      <c r="DR10" s="180">
        <v>7429.7109999999993</v>
      </c>
      <c r="DS10" s="181">
        <v>14686.492999999999</v>
      </c>
      <c r="DT10" s="170">
        <v>27733.038</v>
      </c>
      <c r="DU10" s="176">
        <v>13121.49</v>
      </c>
      <c r="DV10" s="177">
        <v>13103.072999999999</v>
      </c>
      <c r="DW10" s="182">
        <v>26224.562999999998</v>
      </c>
      <c r="DX10" s="170">
        <v>27733.038</v>
      </c>
      <c r="DY10" s="179">
        <v>12743.746999999999</v>
      </c>
      <c r="DZ10" s="180">
        <v>12158.178</v>
      </c>
      <c r="EA10" s="181">
        <v>24901.924999999999</v>
      </c>
      <c r="EB10" s="170">
        <v>27192.629000000001</v>
      </c>
      <c r="EC10" s="179"/>
      <c r="ED10" s="180"/>
      <c r="EE10" s="181">
        <v>0</v>
      </c>
      <c r="EF10" s="170">
        <v>27192.629000000001</v>
      </c>
      <c r="EG10" s="179">
        <v>12635.255000000001</v>
      </c>
      <c r="EH10" s="180">
        <v>12388.443000000003</v>
      </c>
      <c r="EI10" s="181">
        <v>25023.698000000004</v>
      </c>
      <c r="EJ10" s="170">
        <v>25327.455999999998</v>
      </c>
      <c r="EK10" s="179">
        <v>12189.535</v>
      </c>
      <c r="EL10" s="180">
        <v>12461.305000000004</v>
      </c>
      <c r="EM10" s="181">
        <v>24650.840000000004</v>
      </c>
      <c r="EN10" s="170">
        <v>24843.473000000002</v>
      </c>
      <c r="EO10" s="179">
        <v>12393.919</v>
      </c>
      <c r="EP10" s="180">
        <v>12985.465</v>
      </c>
      <c r="EQ10" s="183">
        <v>25379.383999999998</v>
      </c>
      <c r="ER10" s="63"/>
    </row>
    <row r="11" spans="1:148" s="20" customFormat="1" ht="35.25" customHeight="1" x14ac:dyDescent="0.2">
      <c r="A11" s="30" t="s">
        <v>12</v>
      </c>
      <c r="B11" s="31" t="s">
        <v>89</v>
      </c>
      <c r="C11" s="29" t="s">
        <v>87</v>
      </c>
      <c r="D11" s="184">
        <v>1187400</v>
      </c>
      <c r="E11" s="185">
        <v>555336</v>
      </c>
      <c r="F11" s="186">
        <v>513763</v>
      </c>
      <c r="G11" s="187">
        <f>E11+F11</f>
        <v>1069099</v>
      </c>
      <c r="H11" s="184">
        <f>D11</f>
        <v>1187400</v>
      </c>
      <c r="I11" s="188">
        <v>564074</v>
      </c>
      <c r="J11" s="189">
        <v>486134</v>
      </c>
      <c r="K11" s="190">
        <f>I11+J11</f>
        <v>1050208</v>
      </c>
      <c r="L11" s="184">
        <v>1130000</v>
      </c>
      <c r="M11" s="188"/>
      <c r="N11" s="189"/>
      <c r="O11" s="190">
        <f>M11+N11</f>
        <v>0</v>
      </c>
      <c r="P11" s="184">
        <v>1080238.6669999999</v>
      </c>
      <c r="Q11" s="188">
        <f>[1]Билиб!E14</f>
        <v>569084</v>
      </c>
      <c r="R11" s="189">
        <f>[1]Билиб!F14</f>
        <v>458114</v>
      </c>
      <c r="S11" s="190">
        <f>Q11+R11</f>
        <v>1027198</v>
      </c>
      <c r="T11" s="184">
        <v>1063285.6669999999</v>
      </c>
      <c r="U11" s="188">
        <v>488100</v>
      </c>
      <c r="V11" s="189">
        <v>439076</v>
      </c>
      <c r="W11" s="190">
        <f>U11+V11</f>
        <v>927176</v>
      </c>
      <c r="X11" s="184">
        <v>954027.96299999999</v>
      </c>
      <c r="Y11" s="188">
        <v>489722</v>
      </c>
      <c r="Z11" s="189">
        <v>433004</v>
      </c>
      <c r="AA11" s="190">
        <v>922726</v>
      </c>
      <c r="AB11" s="184"/>
      <c r="AC11" s="185"/>
      <c r="AD11" s="186"/>
      <c r="AE11" s="187"/>
      <c r="AF11" s="184"/>
      <c r="AG11" s="188"/>
      <c r="AH11" s="189"/>
      <c r="AI11" s="190"/>
      <c r="AJ11" s="184"/>
      <c r="AK11" s="188"/>
      <c r="AL11" s="189"/>
      <c r="AM11" s="190"/>
      <c r="AN11" s="184"/>
      <c r="AO11" s="188"/>
      <c r="AP11" s="189"/>
      <c r="AQ11" s="190"/>
      <c r="AR11" s="184"/>
      <c r="AS11" s="188"/>
      <c r="AT11" s="189"/>
      <c r="AU11" s="190"/>
      <c r="AV11" s="184"/>
      <c r="AW11" s="188"/>
      <c r="AX11" s="189"/>
      <c r="AY11" s="187"/>
      <c r="AZ11" s="184"/>
      <c r="BA11" s="185"/>
      <c r="BB11" s="186"/>
      <c r="BC11" s="191"/>
      <c r="BD11" s="184"/>
      <c r="BE11" s="188"/>
      <c r="BF11" s="189"/>
      <c r="BG11" s="192"/>
      <c r="BH11" s="184"/>
      <c r="BI11" s="188"/>
      <c r="BJ11" s="189"/>
      <c r="BK11" s="190"/>
      <c r="BL11" s="184"/>
      <c r="BM11" s="185"/>
      <c r="BN11" s="186"/>
      <c r="BO11" s="187"/>
      <c r="BP11" s="184"/>
      <c r="BQ11" s="188"/>
      <c r="BR11" s="189"/>
      <c r="BS11" s="190"/>
      <c r="BT11" s="184"/>
      <c r="BU11" s="188"/>
      <c r="BV11" s="189"/>
      <c r="BW11" s="192"/>
      <c r="BX11" s="184"/>
      <c r="BY11" s="185"/>
      <c r="BZ11" s="186"/>
      <c r="CA11" s="187"/>
      <c r="CB11" s="184"/>
      <c r="CC11" s="188"/>
      <c r="CD11" s="189"/>
      <c r="CE11" s="190"/>
      <c r="CF11" s="184"/>
      <c r="CG11" s="188"/>
      <c r="CH11" s="189"/>
      <c r="CI11" s="190"/>
      <c r="CJ11" s="184"/>
      <c r="CK11" s="188"/>
      <c r="CL11" s="189"/>
      <c r="CM11" s="190"/>
      <c r="CN11" s="184"/>
      <c r="CO11" s="188"/>
      <c r="CP11" s="189"/>
      <c r="CQ11" s="190"/>
      <c r="CR11" s="184"/>
      <c r="CS11" s="188"/>
      <c r="CT11" s="189"/>
      <c r="CU11" s="190"/>
      <c r="CV11" s="184"/>
      <c r="CW11" s="185"/>
      <c r="CX11" s="186"/>
      <c r="CY11" s="187"/>
      <c r="CZ11" s="184"/>
      <c r="DA11" s="188"/>
      <c r="DB11" s="189"/>
      <c r="DC11" s="190"/>
      <c r="DD11" s="184"/>
      <c r="DE11" s="188"/>
      <c r="DF11" s="189"/>
      <c r="DG11" s="190"/>
      <c r="DH11" s="184"/>
      <c r="DI11" s="188"/>
      <c r="DJ11" s="189"/>
      <c r="DK11" s="190"/>
      <c r="DL11" s="184"/>
      <c r="DM11" s="188"/>
      <c r="DN11" s="189"/>
      <c r="DO11" s="190"/>
      <c r="DP11" s="184"/>
      <c r="DQ11" s="188"/>
      <c r="DR11" s="189"/>
      <c r="DS11" s="190"/>
      <c r="DT11" s="184"/>
      <c r="DU11" s="185"/>
      <c r="DV11" s="186"/>
      <c r="DW11" s="191"/>
      <c r="DX11" s="184"/>
      <c r="DY11" s="188"/>
      <c r="DZ11" s="189"/>
      <c r="EA11" s="190">
        <v>0</v>
      </c>
      <c r="EB11" s="184">
        <v>0</v>
      </c>
      <c r="EC11" s="188"/>
      <c r="ED11" s="189"/>
      <c r="EE11" s="190">
        <v>0</v>
      </c>
      <c r="EF11" s="184">
        <v>0</v>
      </c>
      <c r="EG11" s="188"/>
      <c r="EH11" s="189"/>
      <c r="EI11" s="190">
        <v>0</v>
      </c>
      <c r="EJ11" s="184">
        <v>0</v>
      </c>
      <c r="EK11" s="188"/>
      <c r="EL11" s="189"/>
      <c r="EM11" s="190">
        <v>0</v>
      </c>
      <c r="EN11" s="184">
        <v>0</v>
      </c>
      <c r="EO11" s="188"/>
      <c r="EP11" s="189"/>
      <c r="EQ11" s="192">
        <v>0</v>
      </c>
      <c r="ER11" s="63"/>
    </row>
    <row r="12" spans="1:148" s="20" customFormat="1" ht="18.75" customHeight="1" x14ac:dyDescent="0.2">
      <c r="A12" s="27" t="s">
        <v>20</v>
      </c>
      <c r="B12" s="33" t="s">
        <v>90</v>
      </c>
      <c r="C12" s="29" t="s">
        <v>87</v>
      </c>
      <c r="D12" s="170">
        <v>51513.014000000003</v>
      </c>
      <c r="E12" s="176">
        <v>20801.151999999998</v>
      </c>
      <c r="F12" s="177">
        <v>24900.144000000004</v>
      </c>
      <c r="G12" s="178">
        <f>E12+F12</f>
        <v>45701.296000000002</v>
      </c>
      <c r="H12" s="170">
        <f>D12</f>
        <v>51513.014000000003</v>
      </c>
      <c r="I12" s="179">
        <v>24075.128000000004</v>
      </c>
      <c r="J12" s="180">
        <v>17745.654999999999</v>
      </c>
      <c r="K12" s="181">
        <f>I12+J12</f>
        <v>41820.783000000003</v>
      </c>
      <c r="L12" s="170">
        <v>45889.855000000003</v>
      </c>
      <c r="M12" s="179"/>
      <c r="N12" s="180"/>
      <c r="O12" s="181">
        <f>M12+N12</f>
        <v>0</v>
      </c>
      <c r="P12" s="170">
        <v>43887.639000000003</v>
      </c>
      <c r="Q12" s="179">
        <f>[1]Билиб!E15</f>
        <v>31306.595999999998</v>
      </c>
      <c r="R12" s="180">
        <f>[1]Билиб!F15</f>
        <v>18815.349000000002</v>
      </c>
      <c r="S12" s="181">
        <f>Q12+R12</f>
        <v>50121.945</v>
      </c>
      <c r="T12" s="170">
        <v>42528.042000000001</v>
      </c>
      <c r="U12" s="179">
        <v>19669.32</v>
      </c>
      <c r="V12" s="180">
        <v>15527.438000000002</v>
      </c>
      <c r="W12" s="181">
        <f>U12+V12</f>
        <v>35196.758000000002</v>
      </c>
      <c r="X12" s="170">
        <v>41793.584000000003</v>
      </c>
      <c r="Y12" s="179">
        <v>16170.777</v>
      </c>
      <c r="Z12" s="180">
        <v>18889.07</v>
      </c>
      <c r="AA12" s="181">
        <v>35059.847000000002</v>
      </c>
      <c r="AB12" s="170">
        <v>1703.2719999999999</v>
      </c>
      <c r="AC12" s="176">
        <v>542</v>
      </c>
      <c r="AD12" s="177">
        <v>1290</v>
      </c>
      <c r="AE12" s="178">
        <v>1832</v>
      </c>
      <c r="AF12" s="170">
        <v>1703.2719999999999</v>
      </c>
      <c r="AG12" s="179">
        <v>970</v>
      </c>
      <c r="AH12" s="180">
        <v>1180</v>
      </c>
      <c r="AI12" s="181">
        <v>2150</v>
      </c>
      <c r="AJ12" s="170">
        <v>1805.0909999999999</v>
      </c>
      <c r="AK12" s="179"/>
      <c r="AL12" s="180"/>
      <c r="AM12" s="181">
        <v>0</v>
      </c>
      <c r="AN12" s="170">
        <v>1954</v>
      </c>
      <c r="AO12" s="179">
        <v>320</v>
      </c>
      <c r="AP12" s="180">
        <v>580</v>
      </c>
      <c r="AQ12" s="181">
        <v>900</v>
      </c>
      <c r="AR12" s="170">
        <v>1994</v>
      </c>
      <c r="AS12" s="179">
        <v>320</v>
      </c>
      <c r="AT12" s="180">
        <v>1230</v>
      </c>
      <c r="AU12" s="181">
        <v>1550</v>
      </c>
      <c r="AV12" s="170">
        <v>1483.3340000000001</v>
      </c>
      <c r="AW12" s="179">
        <v>1880</v>
      </c>
      <c r="AX12" s="180">
        <v>2020</v>
      </c>
      <c r="AY12" s="173">
        <v>3900</v>
      </c>
      <c r="AZ12" s="170">
        <v>199.333</v>
      </c>
      <c r="BA12" s="176">
        <v>95.317999999999998</v>
      </c>
      <c r="BB12" s="177">
        <v>86.551000000000002</v>
      </c>
      <c r="BC12" s="182">
        <v>181.869</v>
      </c>
      <c r="BD12" s="170">
        <v>199.333</v>
      </c>
      <c r="BE12" s="179">
        <v>88.325999999999993</v>
      </c>
      <c r="BF12" s="180">
        <v>79.766999999999996</v>
      </c>
      <c r="BG12" s="183">
        <v>168.09299999999999</v>
      </c>
      <c r="BH12" s="170">
        <v>195.29</v>
      </c>
      <c r="BI12" s="179"/>
      <c r="BJ12" s="180"/>
      <c r="BK12" s="181">
        <v>0</v>
      </c>
      <c r="BL12" s="170">
        <v>180.321</v>
      </c>
      <c r="BM12" s="176">
        <v>87.924999999999997</v>
      </c>
      <c r="BN12" s="177">
        <v>75.245999999999995</v>
      </c>
      <c r="BO12" s="178">
        <v>163.17099999999999</v>
      </c>
      <c r="BP12" s="170">
        <v>173.73699999999999</v>
      </c>
      <c r="BQ12" s="179">
        <v>81.597999999999999</v>
      </c>
      <c r="BR12" s="180">
        <v>74.223000000000027</v>
      </c>
      <c r="BS12" s="181">
        <v>155.82100000000003</v>
      </c>
      <c r="BT12" s="170">
        <v>170.45089999999999</v>
      </c>
      <c r="BU12" s="179">
        <v>75.307999999999993</v>
      </c>
      <c r="BV12" s="180">
        <v>70.134999999999991</v>
      </c>
      <c r="BW12" s="181">
        <v>145.44299999999998</v>
      </c>
      <c r="BX12" s="170">
        <v>324.10300000000001</v>
      </c>
      <c r="BY12" s="176">
        <v>152.35900000000001</v>
      </c>
      <c r="BZ12" s="177">
        <v>135.292</v>
      </c>
      <c r="CA12" s="178">
        <v>287.65100000000001</v>
      </c>
      <c r="CB12" s="170">
        <v>324.10300000000001</v>
      </c>
      <c r="CC12" s="179">
        <v>136.03700000000001</v>
      </c>
      <c r="CD12" s="180">
        <v>135.44600000000005</v>
      </c>
      <c r="CE12" s="181">
        <v>271.48300000000006</v>
      </c>
      <c r="CF12" s="170">
        <v>307.31</v>
      </c>
      <c r="CG12" s="179"/>
      <c r="CH12" s="180"/>
      <c r="CI12" s="181">
        <v>0</v>
      </c>
      <c r="CJ12" s="170">
        <v>295.28300000000002</v>
      </c>
      <c r="CK12" s="179">
        <v>134.56799999999998</v>
      </c>
      <c r="CL12" s="180">
        <v>136.351</v>
      </c>
      <c r="CM12" s="181">
        <v>270.91899999999998</v>
      </c>
      <c r="CN12" s="170">
        <v>272.959</v>
      </c>
      <c r="CO12" s="179">
        <v>127.794</v>
      </c>
      <c r="CP12" s="180">
        <v>126.58800000000004</v>
      </c>
      <c r="CQ12" s="181">
        <v>254.38200000000003</v>
      </c>
      <c r="CR12" s="170">
        <v>276.79599999999999</v>
      </c>
      <c r="CS12" s="179">
        <v>139.809</v>
      </c>
      <c r="CT12" s="180">
        <v>136.66200000000001</v>
      </c>
      <c r="CU12" s="181">
        <v>276.471</v>
      </c>
      <c r="CV12" s="170">
        <v>261.74700000000001</v>
      </c>
      <c r="CW12" s="176">
        <v>100.64</v>
      </c>
      <c r="CX12" s="177">
        <v>94.58</v>
      </c>
      <c r="CY12" s="178">
        <v>195.22</v>
      </c>
      <c r="CZ12" s="170">
        <v>242.64999999999998</v>
      </c>
      <c r="DA12" s="179">
        <v>96.86</v>
      </c>
      <c r="DB12" s="180">
        <v>102.3</v>
      </c>
      <c r="DC12" s="181">
        <v>199.16</v>
      </c>
      <c r="DD12" s="170">
        <v>222.56</v>
      </c>
      <c r="DE12" s="179"/>
      <c r="DF12" s="180"/>
      <c r="DG12" s="181">
        <v>0</v>
      </c>
      <c r="DH12" s="170">
        <v>207.62299999999999</v>
      </c>
      <c r="DI12" s="179">
        <v>88.77</v>
      </c>
      <c r="DJ12" s="180">
        <v>88.08</v>
      </c>
      <c r="DK12" s="181">
        <v>176.85</v>
      </c>
      <c r="DL12" s="170">
        <v>195.59</v>
      </c>
      <c r="DM12" s="179">
        <v>89.68</v>
      </c>
      <c r="DN12" s="180">
        <v>69.19</v>
      </c>
      <c r="DO12" s="181">
        <v>158.87</v>
      </c>
      <c r="DP12" s="170">
        <v>176.03700000000001</v>
      </c>
      <c r="DQ12" s="179">
        <v>71.849999999999994</v>
      </c>
      <c r="DR12" s="180">
        <v>73.56</v>
      </c>
      <c r="DS12" s="181">
        <v>145.41</v>
      </c>
      <c r="DT12" s="170">
        <v>257.267</v>
      </c>
      <c r="DU12" s="176">
        <v>109.51900000000001</v>
      </c>
      <c r="DV12" s="177">
        <v>117.928</v>
      </c>
      <c r="DW12" s="182">
        <v>227.447</v>
      </c>
      <c r="DX12" s="170">
        <v>257.267</v>
      </c>
      <c r="DY12" s="179">
        <v>114.69399999999999</v>
      </c>
      <c r="DZ12" s="180">
        <v>109.42400000000001</v>
      </c>
      <c r="EA12" s="181">
        <v>224.11799999999999</v>
      </c>
      <c r="EB12" s="170">
        <v>223.417</v>
      </c>
      <c r="EC12" s="179"/>
      <c r="ED12" s="180"/>
      <c r="EE12" s="181">
        <v>0</v>
      </c>
      <c r="EF12" s="170">
        <v>223.417</v>
      </c>
      <c r="EG12" s="179">
        <v>113.71799999999999</v>
      </c>
      <c r="EH12" s="180">
        <v>111.49600000000004</v>
      </c>
      <c r="EI12" s="181">
        <v>225.21400000000003</v>
      </c>
      <c r="EJ12" s="170">
        <v>225.089</v>
      </c>
      <c r="EK12" s="179">
        <v>109.706</v>
      </c>
      <c r="EL12" s="180">
        <v>112.152</v>
      </c>
      <c r="EM12" s="181">
        <v>221.858</v>
      </c>
      <c r="EN12" s="170">
        <v>235.691</v>
      </c>
      <c r="EO12" s="179">
        <v>111.54400000000001</v>
      </c>
      <c r="EP12" s="180">
        <v>116.869</v>
      </c>
      <c r="EQ12" s="183">
        <v>228.41300000000001</v>
      </c>
      <c r="ER12" s="63"/>
    </row>
    <row r="13" spans="1:148" s="35" customFormat="1" ht="28.5" x14ac:dyDescent="0.2">
      <c r="A13" s="30" t="s">
        <v>41</v>
      </c>
      <c r="B13" s="31" t="s">
        <v>91</v>
      </c>
      <c r="C13" s="34" t="s">
        <v>87</v>
      </c>
      <c r="D13" s="184">
        <f t="shared" ref="D13:K13" si="6">D8+D11-D12</f>
        <v>1135886.986</v>
      </c>
      <c r="E13" s="185">
        <f t="shared" si="6"/>
        <v>534534.848</v>
      </c>
      <c r="F13" s="186">
        <f t="shared" si="6"/>
        <v>488862.85599999997</v>
      </c>
      <c r="G13" s="193">
        <f t="shared" si="6"/>
        <v>1023397.704</v>
      </c>
      <c r="H13" s="184">
        <f t="shared" si="6"/>
        <v>1135886.986</v>
      </c>
      <c r="I13" s="188">
        <f t="shared" si="6"/>
        <v>539998.87199999997</v>
      </c>
      <c r="J13" s="189">
        <f t="shared" si="6"/>
        <v>468388.34499999997</v>
      </c>
      <c r="K13" s="194">
        <f t="shared" si="6"/>
        <v>1008387.2169999999</v>
      </c>
      <c r="L13" s="184">
        <f t="shared" ref="L13:W13" si="7">L8+L11-L12</f>
        <v>1084110.145</v>
      </c>
      <c r="M13" s="188">
        <f t="shared" si="7"/>
        <v>0</v>
      </c>
      <c r="N13" s="189">
        <f t="shared" si="7"/>
        <v>0</v>
      </c>
      <c r="O13" s="194">
        <f t="shared" si="7"/>
        <v>0</v>
      </c>
      <c r="P13" s="184">
        <f t="shared" si="7"/>
        <v>1036351.0279999999</v>
      </c>
      <c r="Q13" s="188">
        <f t="shared" si="7"/>
        <v>537777.40399999998</v>
      </c>
      <c r="R13" s="189">
        <f t="shared" si="7"/>
        <v>439298.65100000001</v>
      </c>
      <c r="S13" s="194">
        <f t="shared" si="7"/>
        <v>977076.05500000005</v>
      </c>
      <c r="T13" s="184">
        <f t="shared" si="7"/>
        <v>1020757.6249999999</v>
      </c>
      <c r="U13" s="188">
        <f t="shared" si="7"/>
        <v>468430.68</v>
      </c>
      <c r="V13" s="189">
        <f t="shared" si="7"/>
        <v>423548.56199999998</v>
      </c>
      <c r="W13" s="194">
        <f t="shared" si="7"/>
        <v>891979.24199999997</v>
      </c>
      <c r="X13" s="184">
        <v>912234.37899999996</v>
      </c>
      <c r="Y13" s="188">
        <v>473551.223</v>
      </c>
      <c r="Z13" s="189">
        <v>414114.93</v>
      </c>
      <c r="AA13" s="194">
        <v>887666.15300000005</v>
      </c>
      <c r="AB13" s="184">
        <v>39621.686999999998</v>
      </c>
      <c r="AC13" s="185">
        <v>17691.813999999998</v>
      </c>
      <c r="AD13" s="186">
        <v>16903.099000000002</v>
      </c>
      <c r="AE13" s="193">
        <v>34594.913</v>
      </c>
      <c r="AF13" s="184">
        <v>39621.686999999998</v>
      </c>
      <c r="AG13" s="188">
        <v>14879.022999999999</v>
      </c>
      <c r="AH13" s="189">
        <v>13932.44</v>
      </c>
      <c r="AI13" s="194">
        <v>28811.463</v>
      </c>
      <c r="AJ13" s="184">
        <v>37474.197</v>
      </c>
      <c r="AK13" s="188">
        <v>0</v>
      </c>
      <c r="AL13" s="189">
        <v>0</v>
      </c>
      <c r="AM13" s="194">
        <v>0</v>
      </c>
      <c r="AN13" s="184">
        <v>33573.972000000002</v>
      </c>
      <c r="AO13" s="188">
        <v>14507.508999999998</v>
      </c>
      <c r="AP13" s="189">
        <v>13344.32986419963</v>
      </c>
      <c r="AQ13" s="194">
        <v>27851.838864199628</v>
      </c>
      <c r="AR13" s="184">
        <v>30423.704000000002</v>
      </c>
      <c r="AS13" s="188">
        <v>14430.087999999998</v>
      </c>
      <c r="AT13" s="189">
        <v>13931.880000000003</v>
      </c>
      <c r="AU13" s="194">
        <v>28361.968000000001</v>
      </c>
      <c r="AV13" s="184">
        <v>28026.183000000001</v>
      </c>
      <c r="AW13" s="188">
        <v>11176.609</v>
      </c>
      <c r="AX13" s="189">
        <v>9712.4930000000004</v>
      </c>
      <c r="AY13" s="194">
        <v>20889.101999999999</v>
      </c>
      <c r="AZ13" s="184">
        <v>19684.334000000003</v>
      </c>
      <c r="BA13" s="185">
        <v>9634.6820000000007</v>
      </c>
      <c r="BB13" s="186">
        <v>8604.4490000000005</v>
      </c>
      <c r="BC13" s="195">
        <v>18239.131000000001</v>
      </c>
      <c r="BD13" s="184">
        <v>19684.334000000003</v>
      </c>
      <c r="BE13" s="188">
        <v>8728.6740000000009</v>
      </c>
      <c r="BF13" s="189">
        <v>7861.2330000000002</v>
      </c>
      <c r="BG13" s="196">
        <v>16589.906999999999</v>
      </c>
      <c r="BH13" s="184">
        <v>18951.566999999999</v>
      </c>
      <c r="BI13" s="188">
        <v>0</v>
      </c>
      <c r="BJ13" s="189">
        <v>0</v>
      </c>
      <c r="BK13" s="194">
        <v>0</v>
      </c>
      <c r="BL13" s="184">
        <v>18023.346000000001</v>
      </c>
      <c r="BM13" s="185">
        <v>8572.0750000000007</v>
      </c>
      <c r="BN13" s="186">
        <v>7371.7539999999999</v>
      </c>
      <c r="BO13" s="193">
        <v>15943.829</v>
      </c>
      <c r="BP13" s="184">
        <v>17241.595999999998</v>
      </c>
      <c r="BQ13" s="188">
        <v>8041.402</v>
      </c>
      <c r="BR13" s="189">
        <v>7339.777</v>
      </c>
      <c r="BS13" s="194">
        <v>15381.179</v>
      </c>
      <c r="BT13" s="184">
        <v>16066.5491</v>
      </c>
      <c r="BU13" s="188">
        <v>7409.692</v>
      </c>
      <c r="BV13" s="189">
        <v>6913.8649999999998</v>
      </c>
      <c r="BW13" s="196">
        <v>14323.557000000001</v>
      </c>
      <c r="BX13" s="184">
        <v>32409.947000000004</v>
      </c>
      <c r="BY13" s="185">
        <v>15182.565000000001</v>
      </c>
      <c r="BZ13" s="186">
        <v>13492.645</v>
      </c>
      <c r="CA13" s="193">
        <v>28675.21</v>
      </c>
      <c r="CB13" s="184">
        <v>32409.947000000004</v>
      </c>
      <c r="CC13" s="188">
        <v>13467.812000000002</v>
      </c>
      <c r="CD13" s="189">
        <v>13409.219000000001</v>
      </c>
      <c r="CE13" s="194">
        <v>26877.031000000003</v>
      </c>
      <c r="CF13" s="184">
        <v>30610.828999999994</v>
      </c>
      <c r="CG13" s="188">
        <v>0</v>
      </c>
      <c r="CH13" s="189">
        <v>0</v>
      </c>
      <c r="CI13" s="194">
        <v>0</v>
      </c>
      <c r="CJ13" s="184">
        <v>29363.225999999999</v>
      </c>
      <c r="CK13" s="188">
        <v>13322.223000000002</v>
      </c>
      <c r="CL13" s="189">
        <v>13498.789999999999</v>
      </c>
      <c r="CM13" s="194">
        <v>26821.012999999999</v>
      </c>
      <c r="CN13" s="184">
        <v>27088.95</v>
      </c>
      <c r="CO13" s="188">
        <v>12651.465</v>
      </c>
      <c r="CP13" s="189">
        <v>12532.299000000001</v>
      </c>
      <c r="CQ13" s="194">
        <v>25183.763999999999</v>
      </c>
      <c r="CR13" s="184">
        <v>25891.347000000002</v>
      </c>
      <c r="CS13" s="188">
        <v>13840.992</v>
      </c>
      <c r="CT13" s="189">
        <v>13529.540999999999</v>
      </c>
      <c r="CU13" s="194">
        <v>27370.532999999999</v>
      </c>
      <c r="CV13" s="184">
        <v>26676.602000000003</v>
      </c>
      <c r="CW13" s="185">
        <v>10265.030000000001</v>
      </c>
      <c r="CX13" s="186">
        <v>9743.4840000000004</v>
      </c>
      <c r="CY13" s="193">
        <v>20008.513999999999</v>
      </c>
      <c r="CZ13" s="184">
        <v>24563.220999999998</v>
      </c>
      <c r="DA13" s="188">
        <v>9685.2240000000002</v>
      </c>
      <c r="DB13" s="189">
        <v>10227.988000000003</v>
      </c>
      <c r="DC13" s="194">
        <v>19913.212000000003</v>
      </c>
      <c r="DD13" s="184">
        <v>22719.288</v>
      </c>
      <c r="DE13" s="188">
        <v>0</v>
      </c>
      <c r="DF13" s="189">
        <v>0</v>
      </c>
      <c r="DG13" s="194">
        <v>0</v>
      </c>
      <c r="DH13" s="184">
        <v>21080.513999999999</v>
      </c>
      <c r="DI13" s="188">
        <v>8877.2139999999999</v>
      </c>
      <c r="DJ13" s="189">
        <v>8807.7479999999978</v>
      </c>
      <c r="DK13" s="194">
        <v>17684.962</v>
      </c>
      <c r="DL13" s="184">
        <v>19720.808000000001</v>
      </c>
      <c r="DM13" s="188">
        <v>8968.1479999999992</v>
      </c>
      <c r="DN13" s="189">
        <v>6919.4720000000007</v>
      </c>
      <c r="DO13" s="194">
        <v>15887.619999999999</v>
      </c>
      <c r="DP13" s="184">
        <v>17604.425999999999</v>
      </c>
      <c r="DQ13" s="188">
        <v>7184.9319999999998</v>
      </c>
      <c r="DR13" s="189">
        <v>7356.1509999999989</v>
      </c>
      <c r="DS13" s="194">
        <v>14541.082999999999</v>
      </c>
      <c r="DT13" s="184">
        <v>27475.771000000001</v>
      </c>
      <c r="DU13" s="185">
        <v>13011.971</v>
      </c>
      <c r="DV13" s="186">
        <v>12985.144999999999</v>
      </c>
      <c r="DW13" s="195">
        <v>25997.115999999998</v>
      </c>
      <c r="DX13" s="184">
        <v>27475.771000000001</v>
      </c>
      <c r="DY13" s="188">
        <v>12629.053</v>
      </c>
      <c r="DZ13" s="189">
        <v>12048.753999999999</v>
      </c>
      <c r="EA13" s="194">
        <v>24677.807000000001</v>
      </c>
      <c r="EB13" s="184">
        <v>26969.212</v>
      </c>
      <c r="EC13" s="188">
        <v>0</v>
      </c>
      <c r="ED13" s="189">
        <v>0</v>
      </c>
      <c r="EE13" s="194">
        <v>0</v>
      </c>
      <c r="EF13" s="184">
        <v>26969.212</v>
      </c>
      <c r="EG13" s="188">
        <v>12521.537</v>
      </c>
      <c r="EH13" s="189">
        <v>12276.947000000004</v>
      </c>
      <c r="EI13" s="194">
        <v>24798.484000000004</v>
      </c>
      <c r="EJ13" s="184">
        <v>25102.366999999998</v>
      </c>
      <c r="EK13" s="188">
        <v>12079.829</v>
      </c>
      <c r="EL13" s="189">
        <v>12349.153000000004</v>
      </c>
      <c r="EM13" s="194">
        <v>24428.982000000004</v>
      </c>
      <c r="EN13" s="184">
        <v>24607.782000000003</v>
      </c>
      <c r="EO13" s="188">
        <v>12282.375</v>
      </c>
      <c r="EP13" s="189">
        <v>12868.596</v>
      </c>
      <c r="EQ13" s="196">
        <v>25150.970999999998</v>
      </c>
      <c r="ER13" s="64"/>
    </row>
    <row r="14" spans="1:148" s="20" customFormat="1" ht="15" x14ac:dyDescent="0.2">
      <c r="A14" s="27" t="s">
        <v>42</v>
      </c>
      <c r="B14" s="33" t="s">
        <v>92</v>
      </c>
      <c r="C14" s="29" t="s">
        <v>87</v>
      </c>
      <c r="D14" s="170">
        <f>D15+D16</f>
        <v>71739.885000000009</v>
      </c>
      <c r="E14" s="176">
        <f>E15+E16</f>
        <v>46516.398000000001</v>
      </c>
      <c r="F14" s="177">
        <f>F15+F16</f>
        <v>63654.678</v>
      </c>
      <c r="G14" s="178">
        <f t="shared" ref="G14:J14" si="8">G15+G16</f>
        <v>110171.076</v>
      </c>
      <c r="H14" s="170">
        <f t="shared" si="8"/>
        <v>71739.885000000009</v>
      </c>
      <c r="I14" s="179">
        <f t="shared" si="8"/>
        <v>70463.898000000001</v>
      </c>
      <c r="J14" s="180">
        <f t="shared" si="8"/>
        <v>51517.307000000015</v>
      </c>
      <c r="K14" s="181">
        <f>K15+K16</f>
        <v>121981.20500000002</v>
      </c>
      <c r="L14" s="170">
        <f>L15+L16</f>
        <v>68469.785000000003</v>
      </c>
      <c r="M14" s="179"/>
      <c r="N14" s="180"/>
      <c r="O14" s="181">
        <f>O15+O16</f>
        <v>0</v>
      </c>
      <c r="P14" s="170">
        <f>P15+P16</f>
        <v>65453.434000000001</v>
      </c>
      <c r="Q14" s="197">
        <f>[1]Билиб!E18</f>
        <v>51411.335000000006</v>
      </c>
      <c r="R14" s="180">
        <f>[1]Билиб!F18</f>
        <v>27496.183000000005</v>
      </c>
      <c r="S14" s="198">
        <f>Q14+R14</f>
        <v>78907.518000000011</v>
      </c>
      <c r="T14" s="170">
        <f>T15+T16</f>
        <v>64468.591999999997</v>
      </c>
      <c r="U14" s="197">
        <f t="shared" ref="U14:V14" si="9">U15+U16</f>
        <v>26331.898000000001</v>
      </c>
      <c r="V14" s="180">
        <f t="shared" si="9"/>
        <v>19310.024999999987</v>
      </c>
      <c r="W14" s="198">
        <f>W15+W16</f>
        <v>45641.922999999988</v>
      </c>
      <c r="X14" s="170">
        <v>57615.79</v>
      </c>
      <c r="Y14" s="197">
        <v>54211.968999999997</v>
      </c>
      <c r="Z14" s="180">
        <v>17963.919999999998</v>
      </c>
      <c r="AA14" s="198">
        <v>72175.888999999996</v>
      </c>
      <c r="AB14" s="170">
        <v>1083.5840000000001</v>
      </c>
      <c r="AC14" s="176">
        <v>474</v>
      </c>
      <c r="AD14" s="177">
        <v>457</v>
      </c>
      <c r="AE14" s="178">
        <v>931</v>
      </c>
      <c r="AF14" s="170">
        <v>1083.5840000000001</v>
      </c>
      <c r="AG14" s="179">
        <v>402</v>
      </c>
      <c r="AH14" s="180">
        <v>376</v>
      </c>
      <c r="AI14" s="181">
        <v>778</v>
      </c>
      <c r="AJ14" s="170">
        <v>1024.854</v>
      </c>
      <c r="AK14" s="179">
        <v>0</v>
      </c>
      <c r="AL14" s="180">
        <v>0</v>
      </c>
      <c r="AM14" s="181">
        <v>0</v>
      </c>
      <c r="AN14" s="170">
        <v>918.19</v>
      </c>
      <c r="AO14" s="179">
        <v>392</v>
      </c>
      <c r="AP14" s="180">
        <v>360</v>
      </c>
      <c r="AQ14" s="181">
        <v>752</v>
      </c>
      <c r="AR14" s="170">
        <v>820.33299999999997</v>
      </c>
      <c r="AS14" s="179">
        <v>389</v>
      </c>
      <c r="AT14" s="180">
        <v>376</v>
      </c>
      <c r="AU14" s="181">
        <v>765</v>
      </c>
      <c r="AV14" s="170">
        <v>756.33299999999997</v>
      </c>
      <c r="AW14" s="179">
        <v>301</v>
      </c>
      <c r="AX14" s="180">
        <v>262</v>
      </c>
      <c r="AY14" s="181">
        <v>563</v>
      </c>
      <c r="AZ14" s="170">
        <v>166.464</v>
      </c>
      <c r="BA14" s="176">
        <v>84.885999999999996</v>
      </c>
      <c r="BB14" s="177">
        <v>68.835999999999999</v>
      </c>
      <c r="BC14" s="182">
        <v>153.72199999999998</v>
      </c>
      <c r="BD14" s="170">
        <v>166.464</v>
      </c>
      <c r="BE14" s="179">
        <v>69.83</v>
      </c>
      <c r="BF14" s="180">
        <v>62.89</v>
      </c>
      <c r="BG14" s="183">
        <v>132.72</v>
      </c>
      <c r="BH14" s="170">
        <v>160.267</v>
      </c>
      <c r="BI14" s="179">
        <v>0</v>
      </c>
      <c r="BJ14" s="180">
        <v>0</v>
      </c>
      <c r="BK14" s="181">
        <v>0</v>
      </c>
      <c r="BL14" s="170">
        <v>152.41800000000001</v>
      </c>
      <c r="BM14" s="176">
        <v>68.578000000000003</v>
      </c>
      <c r="BN14" s="177">
        <v>58.971999999999994</v>
      </c>
      <c r="BO14" s="178">
        <v>127.55</v>
      </c>
      <c r="BP14" s="170">
        <v>140.53700000000001</v>
      </c>
      <c r="BQ14" s="179">
        <v>64.331000000000003</v>
      </c>
      <c r="BR14" s="180">
        <v>58.718000000000004</v>
      </c>
      <c r="BS14" s="181">
        <v>123.04900000000001</v>
      </c>
      <c r="BT14" s="170">
        <v>121.55206635728858</v>
      </c>
      <c r="BU14" s="179">
        <v>59.277999999999999</v>
      </c>
      <c r="BV14" s="180">
        <v>55.311</v>
      </c>
      <c r="BW14" s="183">
        <v>114.589</v>
      </c>
      <c r="BX14" s="170">
        <v>609.029</v>
      </c>
      <c r="BY14" s="176">
        <v>286.303</v>
      </c>
      <c r="BZ14" s="177">
        <v>254.48400000000004</v>
      </c>
      <c r="CA14" s="178">
        <v>540.78700000000003</v>
      </c>
      <c r="CB14" s="170">
        <v>609.029</v>
      </c>
      <c r="CC14" s="179">
        <v>255.88900000000001</v>
      </c>
      <c r="CD14" s="180">
        <v>254.77500000000001</v>
      </c>
      <c r="CE14" s="181">
        <v>510.66399999999999</v>
      </c>
      <c r="CF14" s="170">
        <v>575.221</v>
      </c>
      <c r="CG14" s="179">
        <v>0</v>
      </c>
      <c r="CH14" s="180">
        <v>0</v>
      </c>
      <c r="CI14" s="181">
        <v>0</v>
      </c>
      <c r="CJ14" s="170">
        <v>551.77700000000004</v>
      </c>
      <c r="CK14" s="179">
        <v>254.48000000000002</v>
      </c>
      <c r="CL14" s="180">
        <v>256.47699999999998</v>
      </c>
      <c r="CM14" s="181">
        <v>510.95699999999999</v>
      </c>
      <c r="CN14" s="170">
        <v>513.34299999999996</v>
      </c>
      <c r="CO14" s="179">
        <v>240.37800000000004</v>
      </c>
      <c r="CP14" s="180">
        <v>238.11399999999998</v>
      </c>
      <c r="CQ14" s="181">
        <v>478.49200000000002</v>
      </c>
      <c r="CR14" s="170">
        <v>477.56099999999998</v>
      </c>
      <c r="CS14" s="179">
        <v>262.97800000000001</v>
      </c>
      <c r="CT14" s="180">
        <v>257.06100000000004</v>
      </c>
      <c r="CU14" s="181">
        <v>520.03899999999999</v>
      </c>
      <c r="CV14" s="170">
        <v>386.81299999999999</v>
      </c>
      <c r="CW14" s="176">
        <v>148.72</v>
      </c>
      <c r="CX14" s="177">
        <v>139.78</v>
      </c>
      <c r="CY14" s="178">
        <v>288.5</v>
      </c>
      <c r="CZ14" s="170">
        <v>356.16700000000003</v>
      </c>
      <c r="DA14" s="179">
        <v>143.12</v>
      </c>
      <c r="DB14" s="180">
        <v>151.15</v>
      </c>
      <c r="DC14" s="181">
        <v>294.27</v>
      </c>
      <c r="DD14" s="170">
        <v>329.43</v>
      </c>
      <c r="DE14" s="179">
        <v>0</v>
      </c>
      <c r="DF14" s="180">
        <v>0</v>
      </c>
      <c r="DG14" s="181">
        <v>0</v>
      </c>
      <c r="DH14" s="170">
        <v>305.66899999999998</v>
      </c>
      <c r="DI14" s="179">
        <v>131.19</v>
      </c>
      <c r="DJ14" s="180">
        <v>130.17000000000002</v>
      </c>
      <c r="DK14" s="181">
        <v>261.36</v>
      </c>
      <c r="DL14" s="170">
        <v>289.03699999999998</v>
      </c>
      <c r="DM14" s="179">
        <v>132.53</v>
      </c>
      <c r="DN14" s="180">
        <v>102.26000000000002</v>
      </c>
      <c r="DO14" s="181">
        <v>234.79000000000002</v>
      </c>
      <c r="DP14" s="170">
        <v>255.578</v>
      </c>
      <c r="DQ14" s="179">
        <v>106.17999999999999</v>
      </c>
      <c r="DR14" s="180">
        <v>108.72</v>
      </c>
      <c r="DS14" s="181">
        <v>214.89999999999998</v>
      </c>
      <c r="DT14" s="170">
        <v>660.298</v>
      </c>
      <c r="DU14" s="176">
        <v>312.28800000000001</v>
      </c>
      <c r="DV14" s="177">
        <v>311.64400000000001</v>
      </c>
      <c r="DW14" s="182">
        <v>623.93200000000002</v>
      </c>
      <c r="DX14" s="170">
        <v>660.298</v>
      </c>
      <c r="DY14" s="179">
        <v>303.09699999999998</v>
      </c>
      <c r="DZ14" s="180">
        <v>289.17</v>
      </c>
      <c r="EA14" s="181">
        <v>592.26700000000005</v>
      </c>
      <c r="EB14" s="170">
        <v>648.12400000000002</v>
      </c>
      <c r="EC14" s="179">
        <v>0</v>
      </c>
      <c r="ED14" s="180">
        <v>0</v>
      </c>
      <c r="EE14" s="181">
        <v>0</v>
      </c>
      <c r="EF14" s="170">
        <v>648.12400000000002</v>
      </c>
      <c r="EG14" s="179">
        <v>300.517</v>
      </c>
      <c r="EH14" s="180">
        <v>294.64699999999999</v>
      </c>
      <c r="EI14" s="181">
        <v>595.16399999999999</v>
      </c>
      <c r="EJ14" s="170">
        <v>602.45699999999999</v>
      </c>
      <c r="EK14" s="179">
        <v>289.91699999999997</v>
      </c>
      <c r="EL14" s="180">
        <v>296.37899999999996</v>
      </c>
      <c r="EM14" s="181">
        <v>586.29599999999994</v>
      </c>
      <c r="EN14" s="170">
        <v>578.75300000000004</v>
      </c>
      <c r="EO14" s="179">
        <v>294.77800000000002</v>
      </c>
      <c r="EP14" s="180">
        <v>308.84699999999998</v>
      </c>
      <c r="EQ14" s="183">
        <v>603.625</v>
      </c>
      <c r="ER14" s="63"/>
    </row>
    <row r="15" spans="1:148" s="20" customFormat="1" ht="18" customHeight="1" x14ac:dyDescent="0.2">
      <c r="A15" s="36" t="s">
        <v>93</v>
      </c>
      <c r="B15" s="37" t="s">
        <v>94</v>
      </c>
      <c r="C15" s="38" t="s">
        <v>87</v>
      </c>
      <c r="D15" s="199">
        <v>71739.885000000009</v>
      </c>
      <c r="E15" s="200">
        <v>46516.398000000001</v>
      </c>
      <c r="F15" s="201">
        <v>63654.678</v>
      </c>
      <c r="G15" s="178">
        <f>E15+F15</f>
        <v>110171.076</v>
      </c>
      <c r="H15" s="170">
        <f>D15</f>
        <v>71739.885000000009</v>
      </c>
      <c r="I15" s="202">
        <v>70463.898000000001</v>
      </c>
      <c r="J15" s="203">
        <v>51517.307000000015</v>
      </c>
      <c r="K15" s="181">
        <f>I15+J15</f>
        <v>121981.20500000002</v>
      </c>
      <c r="L15" s="170">
        <v>68469.785000000003</v>
      </c>
      <c r="M15" s="202"/>
      <c r="N15" s="203"/>
      <c r="O15" s="181">
        <f>M15+N15</f>
        <v>0</v>
      </c>
      <c r="P15" s="170">
        <v>65453.434000000001</v>
      </c>
      <c r="Q15" s="202">
        <f>Q14</f>
        <v>51411.335000000006</v>
      </c>
      <c r="R15" s="203">
        <f>R14</f>
        <v>27496.183000000005</v>
      </c>
      <c r="S15" s="181">
        <f>Q15+R15</f>
        <v>78907.518000000011</v>
      </c>
      <c r="T15" s="170">
        <v>64468.591999999997</v>
      </c>
      <c r="U15" s="202">
        <v>26331.898000000001</v>
      </c>
      <c r="V15" s="203">
        <v>19310.024999999987</v>
      </c>
      <c r="W15" s="181">
        <f>U15+V15</f>
        <v>45641.922999999988</v>
      </c>
      <c r="X15" s="170">
        <v>57615.79</v>
      </c>
      <c r="Y15" s="202">
        <v>54211.968999999997</v>
      </c>
      <c r="Z15" s="203">
        <v>17963.919999999998</v>
      </c>
      <c r="AA15" s="181">
        <v>72175.888999999996</v>
      </c>
      <c r="AB15" s="199">
        <v>1083.5840000000001</v>
      </c>
      <c r="AC15" s="200">
        <v>474</v>
      </c>
      <c r="AD15" s="201">
        <v>457</v>
      </c>
      <c r="AE15" s="178">
        <v>931</v>
      </c>
      <c r="AF15" s="170">
        <v>1083.5840000000001</v>
      </c>
      <c r="AG15" s="202">
        <v>402</v>
      </c>
      <c r="AH15" s="203">
        <v>376</v>
      </c>
      <c r="AI15" s="181">
        <v>778</v>
      </c>
      <c r="AJ15" s="170">
        <v>1024.854</v>
      </c>
      <c r="AK15" s="202"/>
      <c r="AL15" s="203"/>
      <c r="AM15" s="181">
        <v>0</v>
      </c>
      <c r="AN15" s="170">
        <v>918.19</v>
      </c>
      <c r="AO15" s="202">
        <v>392</v>
      </c>
      <c r="AP15" s="203">
        <v>360</v>
      </c>
      <c r="AQ15" s="181">
        <v>752</v>
      </c>
      <c r="AR15" s="170">
        <v>820.33299999999997</v>
      </c>
      <c r="AS15" s="202">
        <v>389</v>
      </c>
      <c r="AT15" s="203">
        <v>376</v>
      </c>
      <c r="AU15" s="181">
        <v>765</v>
      </c>
      <c r="AV15" s="170">
        <v>756.33299999999997</v>
      </c>
      <c r="AW15" s="202">
        <v>301</v>
      </c>
      <c r="AX15" s="203">
        <v>262</v>
      </c>
      <c r="AY15" s="173">
        <v>563</v>
      </c>
      <c r="AZ15" s="170">
        <v>166.464</v>
      </c>
      <c r="BA15" s="200">
        <v>84.885999999999996</v>
      </c>
      <c r="BB15" s="201">
        <v>68.835999999999999</v>
      </c>
      <c r="BC15" s="182">
        <v>153.72199999999998</v>
      </c>
      <c r="BD15" s="170">
        <v>166.464</v>
      </c>
      <c r="BE15" s="202">
        <v>69.83</v>
      </c>
      <c r="BF15" s="203">
        <v>62.89</v>
      </c>
      <c r="BG15" s="183">
        <v>132.72</v>
      </c>
      <c r="BH15" s="170">
        <v>160.267</v>
      </c>
      <c r="BI15" s="202"/>
      <c r="BJ15" s="203"/>
      <c r="BK15" s="181">
        <v>0</v>
      </c>
      <c r="BL15" s="170">
        <v>152.41800000000001</v>
      </c>
      <c r="BM15" s="200">
        <v>68.578000000000003</v>
      </c>
      <c r="BN15" s="201">
        <v>58.971999999999994</v>
      </c>
      <c r="BO15" s="178">
        <v>127.55</v>
      </c>
      <c r="BP15" s="170">
        <v>140.53700000000001</v>
      </c>
      <c r="BQ15" s="202">
        <v>64.331000000000003</v>
      </c>
      <c r="BR15" s="203">
        <v>58.718000000000004</v>
      </c>
      <c r="BS15" s="181">
        <v>123.04900000000001</v>
      </c>
      <c r="BT15" s="170">
        <v>121.55206635728858</v>
      </c>
      <c r="BU15" s="202">
        <v>59.277999999999999</v>
      </c>
      <c r="BV15" s="203">
        <v>55.311</v>
      </c>
      <c r="BW15" s="181">
        <v>114.589</v>
      </c>
      <c r="BX15" s="170">
        <v>609.029</v>
      </c>
      <c r="BY15" s="200">
        <v>286.303</v>
      </c>
      <c r="BZ15" s="201">
        <v>254.48400000000004</v>
      </c>
      <c r="CA15" s="178">
        <v>540.78700000000003</v>
      </c>
      <c r="CB15" s="170">
        <v>609.029</v>
      </c>
      <c r="CC15" s="202">
        <v>255.88900000000001</v>
      </c>
      <c r="CD15" s="203">
        <v>254.77500000000001</v>
      </c>
      <c r="CE15" s="181">
        <v>510.66399999999999</v>
      </c>
      <c r="CF15" s="170">
        <v>575.221</v>
      </c>
      <c r="CG15" s="202"/>
      <c r="CH15" s="203"/>
      <c r="CI15" s="181">
        <v>0</v>
      </c>
      <c r="CJ15" s="170">
        <v>551.77700000000004</v>
      </c>
      <c r="CK15" s="202">
        <v>254.48000000000002</v>
      </c>
      <c r="CL15" s="203">
        <v>256.47699999999998</v>
      </c>
      <c r="CM15" s="181">
        <v>510.95699999999999</v>
      </c>
      <c r="CN15" s="170">
        <v>513.34299999999996</v>
      </c>
      <c r="CO15" s="202">
        <v>240.37800000000004</v>
      </c>
      <c r="CP15" s="203">
        <v>238.11399999999998</v>
      </c>
      <c r="CQ15" s="181">
        <v>478.49200000000002</v>
      </c>
      <c r="CR15" s="170">
        <v>477.56099999999998</v>
      </c>
      <c r="CS15" s="202">
        <v>262.97800000000001</v>
      </c>
      <c r="CT15" s="203">
        <v>257.06100000000004</v>
      </c>
      <c r="CU15" s="181">
        <v>520.03899999999999</v>
      </c>
      <c r="CV15" s="170">
        <v>386.81299999999999</v>
      </c>
      <c r="CW15" s="200">
        <v>148.72</v>
      </c>
      <c r="CX15" s="201">
        <v>139.78</v>
      </c>
      <c r="CY15" s="178">
        <v>288.5</v>
      </c>
      <c r="CZ15" s="170">
        <v>356.16700000000003</v>
      </c>
      <c r="DA15" s="202">
        <v>143.12</v>
      </c>
      <c r="DB15" s="203">
        <v>151.15</v>
      </c>
      <c r="DC15" s="181">
        <v>294.27</v>
      </c>
      <c r="DD15" s="170">
        <v>329.43</v>
      </c>
      <c r="DE15" s="202"/>
      <c r="DF15" s="203"/>
      <c r="DG15" s="181">
        <v>0</v>
      </c>
      <c r="DH15" s="170">
        <v>305.66899999999998</v>
      </c>
      <c r="DI15" s="202">
        <v>131.19</v>
      </c>
      <c r="DJ15" s="203">
        <v>130.17000000000002</v>
      </c>
      <c r="DK15" s="181">
        <v>261.36</v>
      </c>
      <c r="DL15" s="170">
        <v>289.03699999999998</v>
      </c>
      <c r="DM15" s="202">
        <v>132.53</v>
      </c>
      <c r="DN15" s="203">
        <v>102.26000000000002</v>
      </c>
      <c r="DO15" s="181">
        <v>234.79000000000002</v>
      </c>
      <c r="DP15" s="170">
        <v>255.578</v>
      </c>
      <c r="DQ15" s="202">
        <v>106.17999999999999</v>
      </c>
      <c r="DR15" s="203">
        <v>108.72</v>
      </c>
      <c r="DS15" s="181">
        <v>214.89999999999998</v>
      </c>
      <c r="DT15" s="170">
        <v>660.298</v>
      </c>
      <c r="DU15" s="176">
        <v>312.28800000000001</v>
      </c>
      <c r="DV15" s="177">
        <v>311.64400000000001</v>
      </c>
      <c r="DW15" s="182">
        <v>623.93200000000002</v>
      </c>
      <c r="DX15" s="170">
        <v>660.298</v>
      </c>
      <c r="DY15" s="179">
        <v>303.09699999999998</v>
      </c>
      <c r="DZ15" s="180">
        <v>289.17</v>
      </c>
      <c r="EA15" s="181">
        <v>592.26700000000005</v>
      </c>
      <c r="EB15" s="170">
        <v>648.12400000000002</v>
      </c>
      <c r="EC15" s="179"/>
      <c r="ED15" s="180"/>
      <c r="EE15" s="181">
        <v>0</v>
      </c>
      <c r="EF15" s="170">
        <v>648.12400000000002</v>
      </c>
      <c r="EG15" s="179">
        <v>300.517</v>
      </c>
      <c r="EH15" s="180">
        <v>294.64699999999999</v>
      </c>
      <c r="EI15" s="181">
        <v>595.16399999999999</v>
      </c>
      <c r="EJ15" s="170">
        <v>602.45699999999999</v>
      </c>
      <c r="EK15" s="179">
        <v>289.91699999999997</v>
      </c>
      <c r="EL15" s="180">
        <v>296.37899999999996</v>
      </c>
      <c r="EM15" s="181">
        <v>586.29599999999994</v>
      </c>
      <c r="EN15" s="170">
        <v>578.75300000000004</v>
      </c>
      <c r="EO15" s="202">
        <v>294.77800000000002</v>
      </c>
      <c r="EP15" s="203">
        <v>308.84699999999998</v>
      </c>
      <c r="EQ15" s="183">
        <v>603.625</v>
      </c>
      <c r="ER15" s="63"/>
    </row>
    <row r="16" spans="1:148" s="20" customFormat="1" ht="18" customHeight="1" x14ac:dyDescent="0.2">
      <c r="A16" s="27" t="s">
        <v>95</v>
      </c>
      <c r="B16" s="37" t="s">
        <v>96</v>
      </c>
      <c r="C16" s="29" t="s">
        <v>87</v>
      </c>
      <c r="D16" s="170"/>
      <c r="E16" s="176"/>
      <c r="F16" s="177"/>
      <c r="G16" s="178">
        <f>E16+F16</f>
        <v>0</v>
      </c>
      <c r="H16" s="170"/>
      <c r="I16" s="179"/>
      <c r="J16" s="180"/>
      <c r="K16" s="181">
        <f>I16+J16</f>
        <v>0</v>
      </c>
      <c r="L16" s="170"/>
      <c r="M16" s="179"/>
      <c r="N16" s="180"/>
      <c r="O16" s="181">
        <f>M16+N16</f>
        <v>0</v>
      </c>
      <c r="P16" s="170"/>
      <c r="Q16" s="179"/>
      <c r="R16" s="180"/>
      <c r="S16" s="181">
        <f>Q16+R16</f>
        <v>0</v>
      </c>
      <c r="T16" s="170"/>
      <c r="U16" s="179"/>
      <c r="V16" s="180"/>
      <c r="W16" s="181">
        <f>U16+V16</f>
        <v>0</v>
      </c>
      <c r="X16" s="170"/>
      <c r="Y16" s="179"/>
      <c r="Z16" s="180"/>
      <c r="AA16" s="181"/>
      <c r="AB16" s="170"/>
      <c r="AC16" s="176"/>
      <c r="AD16" s="177"/>
      <c r="AE16" s="178">
        <v>0</v>
      </c>
      <c r="AF16" s="170"/>
      <c r="AG16" s="179"/>
      <c r="AH16" s="180"/>
      <c r="AI16" s="181">
        <v>0</v>
      </c>
      <c r="AJ16" s="170"/>
      <c r="AK16" s="179"/>
      <c r="AL16" s="180"/>
      <c r="AM16" s="181">
        <v>0</v>
      </c>
      <c r="AN16" s="170"/>
      <c r="AO16" s="179"/>
      <c r="AP16" s="180"/>
      <c r="AQ16" s="181">
        <v>0</v>
      </c>
      <c r="AR16" s="170"/>
      <c r="AS16" s="179"/>
      <c r="AT16" s="180"/>
      <c r="AU16" s="181">
        <v>0</v>
      </c>
      <c r="AV16" s="170"/>
      <c r="AW16" s="179"/>
      <c r="AX16" s="180"/>
      <c r="AY16" s="181"/>
      <c r="AZ16" s="170"/>
      <c r="BA16" s="176"/>
      <c r="BB16" s="177"/>
      <c r="BC16" s="182">
        <v>0</v>
      </c>
      <c r="BD16" s="170"/>
      <c r="BE16" s="179"/>
      <c r="BF16" s="180"/>
      <c r="BG16" s="183">
        <v>0</v>
      </c>
      <c r="BH16" s="170"/>
      <c r="BI16" s="179"/>
      <c r="BJ16" s="180"/>
      <c r="BK16" s="181">
        <v>0</v>
      </c>
      <c r="BL16" s="170"/>
      <c r="BM16" s="176"/>
      <c r="BN16" s="177"/>
      <c r="BO16" s="178">
        <v>0</v>
      </c>
      <c r="BP16" s="170"/>
      <c r="BQ16" s="179"/>
      <c r="BR16" s="180"/>
      <c r="BS16" s="181">
        <v>0</v>
      </c>
      <c r="BT16" s="170"/>
      <c r="BU16" s="179"/>
      <c r="BV16" s="180"/>
      <c r="BW16" s="183"/>
      <c r="BX16" s="170"/>
      <c r="BY16" s="176"/>
      <c r="BZ16" s="177"/>
      <c r="CA16" s="178"/>
      <c r="CB16" s="170"/>
      <c r="CC16" s="179"/>
      <c r="CD16" s="180"/>
      <c r="CE16" s="181">
        <v>0</v>
      </c>
      <c r="CF16" s="170"/>
      <c r="CG16" s="179"/>
      <c r="CH16" s="180"/>
      <c r="CI16" s="181">
        <v>0</v>
      </c>
      <c r="CJ16" s="170"/>
      <c r="CK16" s="179"/>
      <c r="CL16" s="180"/>
      <c r="CM16" s="181">
        <v>0</v>
      </c>
      <c r="CN16" s="170"/>
      <c r="CO16" s="179"/>
      <c r="CP16" s="180"/>
      <c r="CQ16" s="181">
        <v>0</v>
      </c>
      <c r="CR16" s="170"/>
      <c r="CS16" s="179"/>
      <c r="CT16" s="180"/>
      <c r="CU16" s="181">
        <v>0</v>
      </c>
      <c r="CV16" s="170"/>
      <c r="CW16" s="176"/>
      <c r="CX16" s="177"/>
      <c r="CY16" s="178"/>
      <c r="CZ16" s="170"/>
      <c r="DA16" s="179"/>
      <c r="DB16" s="180"/>
      <c r="DC16" s="181">
        <v>0</v>
      </c>
      <c r="DD16" s="170"/>
      <c r="DE16" s="179"/>
      <c r="DF16" s="180"/>
      <c r="DG16" s="181">
        <v>0</v>
      </c>
      <c r="DH16" s="170"/>
      <c r="DI16" s="179"/>
      <c r="DJ16" s="180"/>
      <c r="DK16" s="181">
        <v>0</v>
      </c>
      <c r="DL16" s="170"/>
      <c r="DM16" s="179"/>
      <c r="DN16" s="180"/>
      <c r="DO16" s="181">
        <v>0</v>
      </c>
      <c r="DP16" s="170"/>
      <c r="DQ16" s="179"/>
      <c r="DR16" s="180"/>
      <c r="DS16" s="181">
        <v>0</v>
      </c>
      <c r="DT16" s="170"/>
      <c r="DU16" s="176"/>
      <c r="DV16" s="177"/>
      <c r="DW16" s="182"/>
      <c r="DX16" s="170"/>
      <c r="DY16" s="179"/>
      <c r="DZ16" s="180"/>
      <c r="EA16" s="181">
        <v>0</v>
      </c>
      <c r="EB16" s="170"/>
      <c r="EC16" s="179"/>
      <c r="ED16" s="180"/>
      <c r="EE16" s="181">
        <v>0</v>
      </c>
      <c r="EF16" s="170"/>
      <c r="EG16" s="179"/>
      <c r="EH16" s="180"/>
      <c r="EI16" s="181">
        <v>0</v>
      </c>
      <c r="EJ16" s="170"/>
      <c r="EK16" s="179"/>
      <c r="EL16" s="180"/>
      <c r="EM16" s="181">
        <v>0</v>
      </c>
      <c r="EN16" s="170"/>
      <c r="EO16" s="179"/>
      <c r="EP16" s="180"/>
      <c r="EQ16" s="183"/>
      <c r="ER16" s="63"/>
    </row>
    <row r="17" spans="1:148" s="35" customFormat="1" ht="18" customHeight="1" x14ac:dyDescent="0.2">
      <c r="A17" s="30" t="s">
        <v>43</v>
      </c>
      <c r="B17" s="39" t="s">
        <v>97</v>
      </c>
      <c r="C17" s="40" t="s">
        <v>87</v>
      </c>
      <c r="D17" s="204">
        <f t="shared" ref="D17:K17" si="10">D13-D14</f>
        <v>1064147.101</v>
      </c>
      <c r="E17" s="205">
        <f t="shared" si="10"/>
        <v>488018.45</v>
      </c>
      <c r="F17" s="206">
        <f t="shared" si="10"/>
        <v>425208.17799999996</v>
      </c>
      <c r="G17" s="187">
        <f t="shared" si="10"/>
        <v>913226.62800000003</v>
      </c>
      <c r="H17" s="184">
        <f t="shared" si="10"/>
        <v>1064147.101</v>
      </c>
      <c r="I17" s="207">
        <f t="shared" si="10"/>
        <v>469534.97399999999</v>
      </c>
      <c r="J17" s="208">
        <f t="shared" si="10"/>
        <v>416871.03799999994</v>
      </c>
      <c r="K17" s="190">
        <f t="shared" si="10"/>
        <v>886406.01199999987</v>
      </c>
      <c r="L17" s="184">
        <f t="shared" ref="L17:W17" si="11">L13-L14</f>
        <v>1015640.36</v>
      </c>
      <c r="M17" s="207">
        <f t="shared" si="11"/>
        <v>0</v>
      </c>
      <c r="N17" s="208">
        <f t="shared" si="11"/>
        <v>0</v>
      </c>
      <c r="O17" s="190">
        <f t="shared" si="11"/>
        <v>0</v>
      </c>
      <c r="P17" s="184">
        <f t="shared" si="11"/>
        <v>970897.59399999992</v>
      </c>
      <c r="Q17" s="207">
        <f t="shared" si="11"/>
        <v>486366.06899999996</v>
      </c>
      <c r="R17" s="208">
        <f t="shared" si="11"/>
        <v>411802.46799999999</v>
      </c>
      <c r="S17" s="190">
        <f t="shared" si="11"/>
        <v>898168.53700000001</v>
      </c>
      <c r="T17" s="184">
        <f t="shared" si="11"/>
        <v>956289.03299999994</v>
      </c>
      <c r="U17" s="207">
        <f t="shared" si="11"/>
        <v>442098.78200000001</v>
      </c>
      <c r="V17" s="208">
        <f t="shared" si="11"/>
        <v>404238.53700000001</v>
      </c>
      <c r="W17" s="190">
        <f t="shared" si="11"/>
        <v>846337.31900000002</v>
      </c>
      <c r="X17" s="184">
        <v>854618.58899999992</v>
      </c>
      <c r="Y17" s="207">
        <v>419339.25400000002</v>
      </c>
      <c r="Z17" s="208">
        <v>396151.01</v>
      </c>
      <c r="AA17" s="190">
        <v>815490.26400000008</v>
      </c>
      <c r="AB17" s="204">
        <v>38538.102999999996</v>
      </c>
      <c r="AC17" s="205">
        <v>17217.813999999998</v>
      </c>
      <c r="AD17" s="206">
        <v>16446.099000000002</v>
      </c>
      <c r="AE17" s="187">
        <v>33663.913</v>
      </c>
      <c r="AF17" s="184">
        <v>38538.102999999996</v>
      </c>
      <c r="AG17" s="207">
        <v>14477.022999999999</v>
      </c>
      <c r="AH17" s="208">
        <v>13556.44</v>
      </c>
      <c r="AI17" s="190">
        <v>28033.463</v>
      </c>
      <c r="AJ17" s="184">
        <v>36449.343000000001</v>
      </c>
      <c r="AK17" s="207">
        <v>0</v>
      </c>
      <c r="AL17" s="208">
        <v>0</v>
      </c>
      <c r="AM17" s="190">
        <v>0</v>
      </c>
      <c r="AN17" s="184">
        <v>32655.782000000003</v>
      </c>
      <c r="AO17" s="207">
        <v>14115.508999999998</v>
      </c>
      <c r="AP17" s="208">
        <v>12984.32986419963</v>
      </c>
      <c r="AQ17" s="190">
        <v>27099.838864199628</v>
      </c>
      <c r="AR17" s="184">
        <v>29603.371000000003</v>
      </c>
      <c r="AS17" s="207">
        <v>14041.087999999998</v>
      </c>
      <c r="AT17" s="208">
        <v>13555.880000000003</v>
      </c>
      <c r="AU17" s="190">
        <v>27596.968000000001</v>
      </c>
      <c r="AV17" s="184">
        <v>27269.850000000002</v>
      </c>
      <c r="AW17" s="207">
        <v>10875.609</v>
      </c>
      <c r="AX17" s="208">
        <v>9450.4930000000004</v>
      </c>
      <c r="AY17" s="190">
        <v>20326.101999999999</v>
      </c>
      <c r="AZ17" s="204">
        <v>19517.870000000003</v>
      </c>
      <c r="BA17" s="205">
        <v>9549.7960000000003</v>
      </c>
      <c r="BB17" s="206">
        <v>8535.6130000000012</v>
      </c>
      <c r="BC17" s="191">
        <v>18085.409</v>
      </c>
      <c r="BD17" s="184">
        <v>19517.870000000003</v>
      </c>
      <c r="BE17" s="207">
        <v>8658.844000000001</v>
      </c>
      <c r="BF17" s="208">
        <v>7798.3429999999998</v>
      </c>
      <c r="BG17" s="192">
        <v>16457.186999999998</v>
      </c>
      <c r="BH17" s="184">
        <v>18791.3</v>
      </c>
      <c r="BI17" s="207">
        <v>0</v>
      </c>
      <c r="BJ17" s="208">
        <v>0</v>
      </c>
      <c r="BK17" s="190">
        <v>0</v>
      </c>
      <c r="BL17" s="184">
        <v>17870.928</v>
      </c>
      <c r="BM17" s="205">
        <v>8503.4970000000012</v>
      </c>
      <c r="BN17" s="206">
        <v>7312.7820000000002</v>
      </c>
      <c r="BO17" s="187">
        <v>15816.279</v>
      </c>
      <c r="BP17" s="184">
        <v>17101.058999999997</v>
      </c>
      <c r="BQ17" s="207">
        <v>7977.0709999999999</v>
      </c>
      <c r="BR17" s="208">
        <v>7281.0590000000002</v>
      </c>
      <c r="BS17" s="190">
        <v>15258.13</v>
      </c>
      <c r="BT17" s="184">
        <v>15944.997033642712</v>
      </c>
      <c r="BU17" s="207">
        <v>7350.4139999999998</v>
      </c>
      <c r="BV17" s="208">
        <v>6858.5540000000001</v>
      </c>
      <c r="BW17" s="192">
        <v>14208.968000000001</v>
      </c>
      <c r="BX17" s="204">
        <v>31800.918000000005</v>
      </c>
      <c r="BY17" s="205">
        <v>14896.262000000001</v>
      </c>
      <c r="BZ17" s="206">
        <v>13238.161</v>
      </c>
      <c r="CA17" s="187">
        <v>28134.422999999999</v>
      </c>
      <c r="CB17" s="184">
        <v>31800.918000000005</v>
      </c>
      <c r="CC17" s="207">
        <v>13211.923000000003</v>
      </c>
      <c r="CD17" s="208">
        <v>13154.444000000001</v>
      </c>
      <c r="CE17" s="190">
        <v>26366.367000000002</v>
      </c>
      <c r="CF17" s="184">
        <v>30035.607999999993</v>
      </c>
      <c r="CG17" s="207">
        <v>0</v>
      </c>
      <c r="CH17" s="208">
        <v>0</v>
      </c>
      <c r="CI17" s="190">
        <v>0</v>
      </c>
      <c r="CJ17" s="184">
        <v>28811.449000000001</v>
      </c>
      <c r="CK17" s="207">
        <v>13067.743000000002</v>
      </c>
      <c r="CL17" s="208">
        <v>13242.312999999998</v>
      </c>
      <c r="CM17" s="190">
        <v>26310.056</v>
      </c>
      <c r="CN17" s="184">
        <v>26575.607</v>
      </c>
      <c r="CO17" s="207">
        <v>12411.087</v>
      </c>
      <c r="CP17" s="208">
        <v>12294.185000000001</v>
      </c>
      <c r="CQ17" s="190">
        <v>24705.272000000001</v>
      </c>
      <c r="CR17" s="184">
        <v>25413.786</v>
      </c>
      <c r="CS17" s="207">
        <v>13578.014000000001</v>
      </c>
      <c r="CT17" s="208">
        <v>13272.48</v>
      </c>
      <c r="CU17" s="190">
        <v>26850.493999999999</v>
      </c>
      <c r="CV17" s="204">
        <v>26289.789000000004</v>
      </c>
      <c r="CW17" s="205">
        <v>10116.310000000001</v>
      </c>
      <c r="CX17" s="206">
        <v>9603.7039999999997</v>
      </c>
      <c r="CY17" s="187">
        <v>19720.013999999999</v>
      </c>
      <c r="CZ17" s="184">
        <v>24207.053999999996</v>
      </c>
      <c r="DA17" s="207">
        <v>9542.1039999999994</v>
      </c>
      <c r="DB17" s="208">
        <v>10076.838000000003</v>
      </c>
      <c r="DC17" s="190">
        <v>19618.942000000003</v>
      </c>
      <c r="DD17" s="184">
        <v>22389.858</v>
      </c>
      <c r="DE17" s="207">
        <v>0</v>
      </c>
      <c r="DF17" s="208">
        <v>0</v>
      </c>
      <c r="DG17" s="190">
        <v>0</v>
      </c>
      <c r="DH17" s="184">
        <v>20774.844999999998</v>
      </c>
      <c r="DI17" s="207">
        <v>8746.0239999999994</v>
      </c>
      <c r="DJ17" s="208">
        <v>8677.5779999999977</v>
      </c>
      <c r="DK17" s="190">
        <v>17423.601999999999</v>
      </c>
      <c r="DL17" s="184">
        <v>19431.771000000001</v>
      </c>
      <c r="DM17" s="207">
        <v>8835.6179999999986</v>
      </c>
      <c r="DN17" s="208">
        <v>6817.2120000000004</v>
      </c>
      <c r="DO17" s="190">
        <v>15652.829999999998</v>
      </c>
      <c r="DP17" s="184">
        <v>17348.847999999998</v>
      </c>
      <c r="DQ17" s="207">
        <v>7078.7519999999995</v>
      </c>
      <c r="DR17" s="208">
        <v>7247.4309999999987</v>
      </c>
      <c r="DS17" s="190">
        <v>14326.182999999999</v>
      </c>
      <c r="DT17" s="204">
        <v>26815.473000000002</v>
      </c>
      <c r="DU17" s="205">
        <v>12699.682999999999</v>
      </c>
      <c r="DV17" s="206">
        <v>12673.500999999998</v>
      </c>
      <c r="DW17" s="191">
        <v>25373.183999999997</v>
      </c>
      <c r="DX17" s="184">
        <v>26815.473000000002</v>
      </c>
      <c r="DY17" s="207">
        <v>12325.956</v>
      </c>
      <c r="DZ17" s="208">
        <v>11759.583999999999</v>
      </c>
      <c r="EA17" s="190">
        <v>24085.54</v>
      </c>
      <c r="EB17" s="184">
        <v>26321.088</v>
      </c>
      <c r="EC17" s="207">
        <v>0</v>
      </c>
      <c r="ED17" s="208">
        <v>0</v>
      </c>
      <c r="EE17" s="190">
        <v>0</v>
      </c>
      <c r="EF17" s="184">
        <v>26321.088</v>
      </c>
      <c r="EG17" s="207">
        <v>12221.02</v>
      </c>
      <c r="EH17" s="208">
        <v>11982.300000000003</v>
      </c>
      <c r="EI17" s="187">
        <v>24203.320000000003</v>
      </c>
      <c r="EJ17" s="184">
        <v>24499.91</v>
      </c>
      <c r="EK17" s="207">
        <v>11789.912</v>
      </c>
      <c r="EL17" s="208">
        <v>12052.774000000003</v>
      </c>
      <c r="EM17" s="187">
        <v>23842.686000000005</v>
      </c>
      <c r="EN17" s="184">
        <v>24029.029000000002</v>
      </c>
      <c r="EO17" s="207">
        <v>11987.597</v>
      </c>
      <c r="EP17" s="208">
        <v>12559.749</v>
      </c>
      <c r="EQ17" s="192">
        <v>24547.345999999998</v>
      </c>
      <c r="ER17" s="64"/>
    </row>
    <row r="18" spans="1:148" s="20" customFormat="1" ht="18.75" customHeight="1" x14ac:dyDescent="0.2">
      <c r="A18" s="24" t="s">
        <v>44</v>
      </c>
      <c r="B18" s="33" t="s">
        <v>98</v>
      </c>
      <c r="C18" s="29" t="s">
        <v>87</v>
      </c>
      <c r="D18" s="170">
        <f>D19+D20+D21</f>
        <v>727929.97</v>
      </c>
      <c r="E18" s="176">
        <f>E19+E20+E21</f>
        <v>312297.92599999998</v>
      </c>
      <c r="F18" s="177">
        <f>F19+F20+F21</f>
        <v>258648.85700000002</v>
      </c>
      <c r="G18" s="169">
        <f>G19+G20+G21</f>
        <v>570946.78300000005</v>
      </c>
      <c r="H18" s="170">
        <f>H19+H20+H21</f>
        <v>727929.97</v>
      </c>
      <c r="I18" s="179">
        <f t="shared" ref="I18:K18" si="12">I19+I20+I21</f>
        <v>300611.23599999998</v>
      </c>
      <c r="J18" s="180">
        <f t="shared" si="12"/>
        <v>249837.05499999999</v>
      </c>
      <c r="K18" s="173">
        <f t="shared" si="12"/>
        <v>550448.29099999997</v>
      </c>
      <c r="L18" s="170">
        <v>663809.05099999998</v>
      </c>
      <c r="M18" s="179"/>
      <c r="N18" s="180"/>
      <c r="O18" s="173">
        <f>O19+O20+O21</f>
        <v>0</v>
      </c>
      <c r="P18" s="170">
        <f>P19+P20+P21</f>
        <v>621768.09299999999</v>
      </c>
      <c r="Q18" s="197">
        <f>[1]Билиб!E22</f>
        <v>304418.45500000002</v>
      </c>
      <c r="R18" s="180">
        <f>[1]Билиб!F22</f>
        <v>213572.18099999998</v>
      </c>
      <c r="S18" s="198">
        <f>Q18+R18</f>
        <v>517990.636</v>
      </c>
      <c r="T18" s="170">
        <f>T19+T20+T21</f>
        <v>612655.62099999993</v>
      </c>
      <c r="U18" s="197">
        <f t="shared" ref="U18:W18" si="13">U19+U20+U21</f>
        <v>248668.71414</v>
      </c>
      <c r="V18" s="180">
        <f t="shared" si="13"/>
        <v>204910.4676</v>
      </c>
      <c r="W18" s="198">
        <f t="shared" si="13"/>
        <v>453579.18173999997</v>
      </c>
      <c r="X18" s="170">
        <v>453579.18199999997</v>
      </c>
      <c r="Y18" s="197">
        <v>214552.89499999999</v>
      </c>
      <c r="Z18" s="180">
        <v>194962.829</v>
      </c>
      <c r="AA18" s="198">
        <v>409515.72399999993</v>
      </c>
      <c r="AB18" s="170">
        <v>3749.9189999999999</v>
      </c>
      <c r="AC18" s="176">
        <v>1172.0219999999999</v>
      </c>
      <c r="AD18" s="177">
        <v>1403.6610000000001</v>
      </c>
      <c r="AE18" s="169">
        <v>2575.683</v>
      </c>
      <c r="AF18" s="170">
        <v>3749.9189999999999</v>
      </c>
      <c r="AG18" s="179">
        <v>1054.7739999999999</v>
      </c>
      <c r="AH18" s="180">
        <v>959.43499999999995</v>
      </c>
      <c r="AI18" s="173">
        <v>2014.2089999999998</v>
      </c>
      <c r="AJ18" s="170">
        <v>3174.4479999999999</v>
      </c>
      <c r="AK18" s="179"/>
      <c r="AL18" s="180"/>
      <c r="AM18" s="173">
        <v>0</v>
      </c>
      <c r="AN18" s="170">
        <v>2567.002</v>
      </c>
      <c r="AO18" s="179">
        <v>1295.1860000000001</v>
      </c>
      <c r="AP18" s="180">
        <v>1537.7990000000004</v>
      </c>
      <c r="AQ18" s="173">
        <v>2832.9850000000006</v>
      </c>
      <c r="AR18" s="170">
        <v>2198.0749999999998</v>
      </c>
      <c r="AS18" s="179">
        <v>3189.8269300000002</v>
      </c>
      <c r="AT18" s="180">
        <v>3452.2580699999999</v>
      </c>
      <c r="AU18" s="173">
        <v>6642.085</v>
      </c>
      <c r="AV18" s="170">
        <v>3826.47</v>
      </c>
      <c r="AW18" s="179">
        <v>2179.7860000000001</v>
      </c>
      <c r="AX18" s="180">
        <v>2514.1990000000001</v>
      </c>
      <c r="AY18" s="173">
        <v>4693.9850000000006</v>
      </c>
      <c r="AZ18" s="170">
        <v>8061.9059999999999</v>
      </c>
      <c r="BA18" s="176">
        <v>3969.9830000000002</v>
      </c>
      <c r="BB18" s="177">
        <v>3161.4059999999999</v>
      </c>
      <c r="BC18" s="174">
        <v>7131.3890000000001</v>
      </c>
      <c r="BD18" s="170">
        <v>8061.9059999999999</v>
      </c>
      <c r="BE18" s="179">
        <v>3595.6149999999998</v>
      </c>
      <c r="BF18" s="180">
        <v>2885.7550000000001</v>
      </c>
      <c r="BG18" s="175">
        <v>6481.37</v>
      </c>
      <c r="BH18" s="170">
        <v>7578.6530000000002</v>
      </c>
      <c r="BI18" s="179">
        <v>0</v>
      </c>
      <c r="BJ18" s="180">
        <v>0</v>
      </c>
      <c r="BK18" s="173">
        <v>0</v>
      </c>
      <c r="BL18" s="170">
        <v>7136.7209999999995</v>
      </c>
      <c r="BM18" s="176">
        <v>3492.0419999999999</v>
      </c>
      <c r="BN18" s="177">
        <v>2804.9630000000002</v>
      </c>
      <c r="BO18" s="169">
        <v>6297.0050000000001</v>
      </c>
      <c r="BP18" s="170">
        <v>6765.7520000000004</v>
      </c>
      <c r="BQ18" s="179">
        <v>3273.3829999999998</v>
      </c>
      <c r="BR18" s="180">
        <v>2819.8359999999993</v>
      </c>
      <c r="BS18" s="173">
        <v>6093.2190000000001</v>
      </c>
      <c r="BT18" s="170">
        <v>6358.24</v>
      </c>
      <c r="BU18" s="179">
        <v>3175.645</v>
      </c>
      <c r="BV18" s="180">
        <v>2479.73</v>
      </c>
      <c r="BW18" s="175">
        <v>5655.3749999999991</v>
      </c>
      <c r="BX18" s="170">
        <v>9707.027</v>
      </c>
      <c r="BY18" s="176">
        <v>4267.451</v>
      </c>
      <c r="BZ18" s="177">
        <v>3838.7860000000001</v>
      </c>
      <c r="CA18" s="169">
        <v>8106.2370000000001</v>
      </c>
      <c r="CB18" s="170">
        <v>9707.027</v>
      </c>
      <c r="CC18" s="179">
        <v>3841.9970000000003</v>
      </c>
      <c r="CD18" s="180">
        <v>3676.7420000000002</v>
      </c>
      <c r="CE18" s="173">
        <v>7518.7389999999996</v>
      </c>
      <c r="CF18" s="170">
        <v>8588.8960000000006</v>
      </c>
      <c r="CG18" s="179">
        <v>0</v>
      </c>
      <c r="CH18" s="180">
        <v>0</v>
      </c>
      <c r="CI18" s="173">
        <v>0</v>
      </c>
      <c r="CJ18" s="170">
        <v>8152.3459999999995</v>
      </c>
      <c r="CK18" s="179">
        <v>3662.8890000000001</v>
      </c>
      <c r="CL18" s="180">
        <v>3384.822000000001</v>
      </c>
      <c r="CM18" s="173">
        <v>7047.7110000000011</v>
      </c>
      <c r="CN18" s="170">
        <v>7496.9889999999996</v>
      </c>
      <c r="CO18" s="179">
        <v>2952.3040000000001</v>
      </c>
      <c r="CP18" s="180">
        <v>2932.5810000000001</v>
      </c>
      <c r="CQ18" s="173">
        <v>5884.8850000000002</v>
      </c>
      <c r="CR18" s="170">
        <v>6599.5290000000005</v>
      </c>
      <c r="CS18" s="179">
        <v>3139.585</v>
      </c>
      <c r="CT18" s="180">
        <v>3028.7</v>
      </c>
      <c r="CU18" s="173">
        <v>6168.2849999999999</v>
      </c>
      <c r="CV18" s="170">
        <v>10273.637000000001</v>
      </c>
      <c r="CW18" s="176">
        <v>3388.02</v>
      </c>
      <c r="CX18" s="177">
        <v>2774.8250000000003</v>
      </c>
      <c r="CY18" s="169">
        <v>6162.8449999999993</v>
      </c>
      <c r="CZ18" s="170">
        <v>9114.8610000000008</v>
      </c>
      <c r="DA18" s="179">
        <v>2879.1819999999998</v>
      </c>
      <c r="DB18" s="180">
        <v>3024.68</v>
      </c>
      <c r="DC18" s="173">
        <v>5903.8620000000001</v>
      </c>
      <c r="DD18" s="170">
        <v>8005.3779999999997</v>
      </c>
      <c r="DE18" s="179">
        <v>0</v>
      </c>
      <c r="DF18" s="180">
        <v>0</v>
      </c>
      <c r="DG18" s="173">
        <v>0</v>
      </c>
      <c r="DH18" s="170">
        <v>6825.4830000000002</v>
      </c>
      <c r="DI18" s="179">
        <v>2519.8119999999999</v>
      </c>
      <c r="DJ18" s="180">
        <v>2571.7890000000007</v>
      </c>
      <c r="DK18" s="173">
        <v>5091.6010000000006</v>
      </c>
      <c r="DL18" s="170">
        <v>5819.5110000000004</v>
      </c>
      <c r="DM18" s="179">
        <v>2278.2959999999998</v>
      </c>
      <c r="DN18" s="180">
        <v>2007.9380000000001</v>
      </c>
      <c r="DO18" s="173">
        <v>4286.2340000000004</v>
      </c>
      <c r="DP18" s="170">
        <v>4923.2209999999995</v>
      </c>
      <c r="DQ18" s="179">
        <v>2465.9059999999999</v>
      </c>
      <c r="DR18" s="180">
        <v>2407.5069999999996</v>
      </c>
      <c r="DS18" s="181">
        <v>4873.4129999999996</v>
      </c>
      <c r="DT18" s="170">
        <v>1931.9569999999999</v>
      </c>
      <c r="DU18" s="176">
        <v>880.67599999999993</v>
      </c>
      <c r="DV18" s="177">
        <v>941.45699999999999</v>
      </c>
      <c r="DW18" s="174">
        <v>1822.133</v>
      </c>
      <c r="DX18" s="170">
        <v>1931.9569999999999</v>
      </c>
      <c r="DY18" s="179">
        <v>907.83600000000001</v>
      </c>
      <c r="DZ18" s="180">
        <v>897.30499999999995</v>
      </c>
      <c r="EA18" s="173">
        <v>1805.1410000000001</v>
      </c>
      <c r="EB18" s="170">
        <v>1824.3140000000001</v>
      </c>
      <c r="EC18" s="179"/>
      <c r="ED18" s="180"/>
      <c r="EE18" s="173">
        <v>0</v>
      </c>
      <c r="EF18" s="170">
        <v>1824.3140000000001</v>
      </c>
      <c r="EG18" s="197">
        <v>845.89200000000005</v>
      </c>
      <c r="EH18" s="180">
        <v>914.97599999999989</v>
      </c>
      <c r="EI18" s="173">
        <v>1760.8679999999999</v>
      </c>
      <c r="EJ18" s="170">
        <v>1803.4549999999999</v>
      </c>
      <c r="EK18" s="197">
        <v>986.47199999999998</v>
      </c>
      <c r="EL18" s="180">
        <v>1417.479</v>
      </c>
      <c r="EM18" s="173">
        <v>2403.951</v>
      </c>
      <c r="EN18" s="170">
        <v>1982.6369999999997</v>
      </c>
      <c r="EO18" s="179">
        <v>1104.92</v>
      </c>
      <c r="EP18" s="180">
        <v>1059.414</v>
      </c>
      <c r="EQ18" s="175">
        <v>2164.3339999999998</v>
      </c>
      <c r="ER18" s="63"/>
    </row>
    <row r="19" spans="1:148" s="20" customFormat="1" ht="12.75" customHeight="1" x14ac:dyDescent="0.2">
      <c r="A19" s="27" t="s">
        <v>99</v>
      </c>
      <c r="B19" s="41" t="s">
        <v>100</v>
      </c>
      <c r="C19" s="38" t="s">
        <v>87</v>
      </c>
      <c r="D19" s="199">
        <v>444914.45900000003</v>
      </c>
      <c r="E19" s="200">
        <v>216396.3</v>
      </c>
      <c r="F19" s="201">
        <v>182714.93800000002</v>
      </c>
      <c r="G19" s="178">
        <f>E19+F19</f>
        <v>399111.23800000001</v>
      </c>
      <c r="H19" s="170">
        <f>D19</f>
        <v>444914.45900000003</v>
      </c>
      <c r="I19" s="202">
        <v>214496.60987096775</v>
      </c>
      <c r="J19" s="203">
        <v>185737.47199999995</v>
      </c>
      <c r="K19" s="181">
        <f>I19+J19</f>
        <v>400234.0818709677</v>
      </c>
      <c r="L19" s="170">
        <v>389249.88900000002</v>
      </c>
      <c r="M19" s="202"/>
      <c r="N19" s="203"/>
      <c r="O19" s="181">
        <f>M19+N19</f>
        <v>0</v>
      </c>
      <c r="P19" s="170">
        <v>364597.56099999999</v>
      </c>
      <c r="Q19" s="202">
        <v>227357.198</v>
      </c>
      <c r="R19" s="203">
        <v>174296.27900000001</v>
      </c>
      <c r="S19" s="181">
        <f>Q19+R19</f>
        <v>401653.47700000001</v>
      </c>
      <c r="T19" s="170">
        <v>364597.56099999999</v>
      </c>
      <c r="U19" s="202">
        <v>200146.12</v>
      </c>
      <c r="V19" s="203">
        <v>176273.02900000001</v>
      </c>
      <c r="W19" s="181">
        <f>U19+V19</f>
        <v>376419.14899999998</v>
      </c>
      <c r="X19" s="170">
        <v>389783.77700000006</v>
      </c>
      <c r="Y19" s="202">
        <v>172939.93799999999</v>
      </c>
      <c r="Z19" s="203">
        <v>164845.696</v>
      </c>
      <c r="AA19" s="181">
        <v>337785.63399999996</v>
      </c>
      <c r="AB19" s="199">
        <v>0</v>
      </c>
      <c r="AC19" s="200"/>
      <c r="AD19" s="201"/>
      <c r="AE19" s="178">
        <v>0</v>
      </c>
      <c r="AF19" s="170"/>
      <c r="AG19" s="202"/>
      <c r="AH19" s="203"/>
      <c r="AI19" s="181">
        <v>0</v>
      </c>
      <c r="AJ19" s="170"/>
      <c r="AK19" s="202"/>
      <c r="AL19" s="203"/>
      <c r="AM19" s="181">
        <v>0</v>
      </c>
      <c r="AN19" s="170"/>
      <c r="AO19" s="202"/>
      <c r="AP19" s="203"/>
      <c r="AQ19" s="181">
        <v>0</v>
      </c>
      <c r="AR19" s="170"/>
      <c r="AS19" s="202"/>
      <c r="AT19" s="203"/>
      <c r="AU19" s="181">
        <v>0</v>
      </c>
      <c r="AV19" s="170"/>
      <c r="AW19" s="202"/>
      <c r="AX19" s="203"/>
      <c r="AY19" s="181"/>
      <c r="AZ19" s="170">
        <v>6709.6229999999996</v>
      </c>
      <c r="BA19" s="200">
        <v>3403.1060000000002</v>
      </c>
      <c r="BB19" s="201">
        <v>2518.1439999999998</v>
      </c>
      <c r="BC19" s="182">
        <v>5921.25</v>
      </c>
      <c r="BD19" s="170">
        <v>6709.6229999999996</v>
      </c>
      <c r="BE19" s="202">
        <v>3040.5079999999998</v>
      </c>
      <c r="BF19" s="203">
        <v>2267.4960000000001</v>
      </c>
      <c r="BG19" s="183">
        <v>5308.0039999999999</v>
      </c>
      <c r="BH19" s="170">
        <v>6709.6229999999996</v>
      </c>
      <c r="BI19" s="202"/>
      <c r="BJ19" s="203"/>
      <c r="BK19" s="181">
        <v>0</v>
      </c>
      <c r="BL19" s="170">
        <v>6318.3670000000002</v>
      </c>
      <c r="BM19" s="200">
        <v>2929.6039999999998</v>
      </c>
      <c r="BN19" s="201">
        <v>2178.2249999999999</v>
      </c>
      <c r="BO19" s="178">
        <v>5107.8289999999997</v>
      </c>
      <c r="BP19" s="170">
        <v>5989.9359999999997</v>
      </c>
      <c r="BQ19" s="202">
        <v>2705.0150000000003</v>
      </c>
      <c r="BR19" s="203">
        <v>2194.8780000000006</v>
      </c>
      <c r="BS19" s="181">
        <v>4899.8930000000009</v>
      </c>
      <c r="BT19" s="170">
        <v>5217.0557835246045</v>
      </c>
      <c r="BU19" s="202">
        <v>2625.096</v>
      </c>
      <c r="BV19" s="203">
        <v>1885.366</v>
      </c>
      <c r="BW19" s="181">
        <v>4510.4619999999995</v>
      </c>
      <c r="BX19" s="170">
        <v>5280.7179999999998</v>
      </c>
      <c r="BY19" s="200">
        <v>2332.1289999999999</v>
      </c>
      <c r="BZ19" s="201">
        <v>1734.038</v>
      </c>
      <c r="CA19" s="178">
        <v>4066.1669999999999</v>
      </c>
      <c r="CB19" s="170">
        <v>5280.7179999999998</v>
      </c>
      <c r="CC19" s="202">
        <v>2104.4659999999999</v>
      </c>
      <c r="CD19" s="203">
        <v>1576.2850000000003</v>
      </c>
      <c r="CE19" s="181">
        <v>3680.7510000000002</v>
      </c>
      <c r="CF19" s="170">
        <v>4308.2740000000003</v>
      </c>
      <c r="CG19" s="202"/>
      <c r="CH19" s="203"/>
      <c r="CI19" s="181">
        <v>0</v>
      </c>
      <c r="CJ19" s="170">
        <v>4089.2959999999998</v>
      </c>
      <c r="CK19" s="202">
        <v>1341.511</v>
      </c>
      <c r="CL19" s="203">
        <v>1047.6369999999999</v>
      </c>
      <c r="CM19" s="181">
        <v>2389.1480000000001</v>
      </c>
      <c r="CN19" s="170">
        <v>3760.5630000000001</v>
      </c>
      <c r="CO19" s="202">
        <v>1272.711</v>
      </c>
      <c r="CP19" s="203">
        <v>1120.8700000000001</v>
      </c>
      <c r="CQ19" s="181">
        <v>2393.5810000000001</v>
      </c>
      <c r="CR19" s="170">
        <v>2684.2507922158211</v>
      </c>
      <c r="CS19" s="202">
        <v>1366.41</v>
      </c>
      <c r="CT19" s="203">
        <v>1047.5719999999999</v>
      </c>
      <c r="CU19" s="181">
        <v>2413.982</v>
      </c>
      <c r="CV19" s="170">
        <v>7655.4890000000005</v>
      </c>
      <c r="CW19" s="200">
        <v>2384.5630000000001</v>
      </c>
      <c r="CX19" s="201">
        <v>1716.768</v>
      </c>
      <c r="CY19" s="178">
        <v>4101.3310000000001</v>
      </c>
      <c r="CZ19" s="170">
        <v>6666.09</v>
      </c>
      <c r="DA19" s="202">
        <v>2069.9780000000001</v>
      </c>
      <c r="DB19" s="203">
        <v>1701.8560000000002</v>
      </c>
      <c r="DC19" s="181">
        <v>3771.8340000000003</v>
      </c>
      <c r="DD19" s="170">
        <v>5854.6769999999997</v>
      </c>
      <c r="DE19" s="202"/>
      <c r="DF19" s="203"/>
      <c r="DG19" s="181">
        <v>0</v>
      </c>
      <c r="DH19" s="170">
        <v>4991.7690000000002</v>
      </c>
      <c r="DI19" s="202">
        <v>1779.627</v>
      </c>
      <c r="DJ19" s="203">
        <v>1342.0129999999999</v>
      </c>
      <c r="DK19" s="181">
        <v>3121.64</v>
      </c>
      <c r="DL19" s="170">
        <v>4256.058</v>
      </c>
      <c r="DM19" s="202">
        <v>1537.4719999999998</v>
      </c>
      <c r="DN19" s="203">
        <v>1206.5320000000002</v>
      </c>
      <c r="DO19" s="181">
        <v>2744.0039999999999</v>
      </c>
      <c r="DP19" s="170">
        <v>3151.7966860614692</v>
      </c>
      <c r="DQ19" s="202">
        <v>1544.454</v>
      </c>
      <c r="DR19" s="203">
        <v>1511.998</v>
      </c>
      <c r="DS19" s="181">
        <v>3056.4520000000002</v>
      </c>
      <c r="DT19" s="170"/>
      <c r="DU19" s="200"/>
      <c r="DV19" s="201"/>
      <c r="DW19" s="182"/>
      <c r="DX19" s="170"/>
      <c r="DY19" s="202"/>
      <c r="DZ19" s="203"/>
      <c r="EA19" s="181">
        <v>0</v>
      </c>
      <c r="EB19" s="170">
        <v>0</v>
      </c>
      <c r="EC19" s="202"/>
      <c r="ED19" s="203"/>
      <c r="EE19" s="181">
        <v>0</v>
      </c>
      <c r="EF19" s="170">
        <v>0</v>
      </c>
      <c r="EG19" s="202"/>
      <c r="EH19" s="203"/>
      <c r="EI19" s="181">
        <v>0</v>
      </c>
      <c r="EJ19" s="170"/>
      <c r="EK19" s="202"/>
      <c r="EL19" s="203"/>
      <c r="EM19" s="181">
        <v>0</v>
      </c>
      <c r="EN19" s="170"/>
      <c r="EO19" s="202"/>
      <c r="EP19" s="203"/>
      <c r="EQ19" s="183"/>
      <c r="ER19" s="63"/>
    </row>
    <row r="20" spans="1:148" s="20" customFormat="1" ht="12.75" customHeight="1" x14ac:dyDescent="0.2">
      <c r="A20" s="27" t="s">
        <v>101</v>
      </c>
      <c r="B20" s="37" t="s">
        <v>102</v>
      </c>
      <c r="C20" s="29" t="s">
        <v>87</v>
      </c>
      <c r="D20" s="170">
        <v>40065.805999999997</v>
      </c>
      <c r="E20" s="176">
        <v>6107.7</v>
      </c>
      <c r="F20" s="177">
        <v>7761.1619999999994</v>
      </c>
      <c r="G20" s="169">
        <f>E20+F20</f>
        <v>13868.861999999999</v>
      </c>
      <c r="H20" s="170">
        <f>D20</f>
        <v>40065.805999999997</v>
      </c>
      <c r="I20" s="179">
        <f>219006-I19</f>
        <v>4509.3901290322538</v>
      </c>
      <c r="J20" s="180">
        <f>195165-J19</f>
        <v>9427.5280000000494</v>
      </c>
      <c r="K20" s="173">
        <f>I20+J20</f>
        <v>13936.918129032303</v>
      </c>
      <c r="L20" s="170">
        <v>35053.053999999996</v>
      </c>
      <c r="M20" s="179"/>
      <c r="N20" s="180"/>
      <c r="O20" s="173">
        <f>M20+N20</f>
        <v>0</v>
      </c>
      <c r="P20" s="170">
        <v>32833.042000000001</v>
      </c>
      <c r="Q20" s="180">
        <v>5501.8019999999997</v>
      </c>
      <c r="R20" s="180">
        <v>5226.7209999999995</v>
      </c>
      <c r="S20" s="173">
        <f>Q20+R20</f>
        <v>10728.522999999999</v>
      </c>
      <c r="T20" s="170">
        <v>32833.042000000001</v>
      </c>
      <c r="U20" s="180">
        <v>5509.2309999999998</v>
      </c>
      <c r="V20" s="180">
        <f>10743.431-U20</f>
        <v>5234.2000000000007</v>
      </c>
      <c r="W20" s="173">
        <f>U20+V20</f>
        <v>10743.431</v>
      </c>
      <c r="X20" s="170">
        <v>40062.047999999995</v>
      </c>
      <c r="Y20" s="202">
        <v>3771.0619999999999</v>
      </c>
      <c r="Z20" s="180">
        <v>6654.3040000000001</v>
      </c>
      <c r="AA20" s="181">
        <v>10425.366</v>
      </c>
      <c r="AB20" s="170">
        <v>2875.2930000000001</v>
      </c>
      <c r="AC20" s="176">
        <v>796</v>
      </c>
      <c r="AD20" s="177">
        <v>1101</v>
      </c>
      <c r="AE20" s="169">
        <v>1897</v>
      </c>
      <c r="AF20" s="170">
        <v>2875.2930000000001</v>
      </c>
      <c r="AG20" s="179">
        <v>638</v>
      </c>
      <c r="AH20" s="180">
        <v>544</v>
      </c>
      <c r="AI20" s="173">
        <v>1182</v>
      </c>
      <c r="AJ20" s="170">
        <v>2434.0440722223602</v>
      </c>
      <c r="AK20" s="179"/>
      <c r="AL20" s="180"/>
      <c r="AM20" s="173">
        <v>0</v>
      </c>
      <c r="AN20" s="170">
        <v>1968.278</v>
      </c>
      <c r="AO20" s="179">
        <v>1052</v>
      </c>
      <c r="AP20" s="180">
        <v>1266</v>
      </c>
      <c r="AQ20" s="173">
        <v>2318</v>
      </c>
      <c r="AR20" s="166">
        <v>1685.3989999999999</v>
      </c>
      <c r="AS20" s="179">
        <v>2709</v>
      </c>
      <c r="AT20" s="180">
        <v>2624.3</v>
      </c>
      <c r="AU20" s="173">
        <v>5333.3</v>
      </c>
      <c r="AV20" s="170">
        <v>2189</v>
      </c>
      <c r="AW20" s="179">
        <v>1952</v>
      </c>
      <c r="AX20" s="180">
        <v>2342</v>
      </c>
      <c r="AY20" s="173">
        <v>4294</v>
      </c>
      <c r="AZ20" s="170">
        <v>638.827</v>
      </c>
      <c r="BA20" s="176">
        <v>227.304</v>
      </c>
      <c r="BB20" s="177">
        <v>286.47199999999998</v>
      </c>
      <c r="BC20" s="174">
        <v>513.77599999999995</v>
      </c>
      <c r="BD20" s="170">
        <v>638.827</v>
      </c>
      <c r="BE20" s="179">
        <v>338.286</v>
      </c>
      <c r="BF20" s="180">
        <v>387.83499999999998</v>
      </c>
      <c r="BG20" s="175">
        <v>726.12099999999998</v>
      </c>
      <c r="BH20" s="170">
        <v>638.827</v>
      </c>
      <c r="BI20" s="179"/>
      <c r="BJ20" s="180"/>
      <c r="BK20" s="173">
        <v>0</v>
      </c>
      <c r="BL20" s="170">
        <v>601.57500000000005</v>
      </c>
      <c r="BM20" s="176">
        <v>326.02499999999998</v>
      </c>
      <c r="BN20" s="177">
        <v>387.24900000000002</v>
      </c>
      <c r="BO20" s="169">
        <v>713.274</v>
      </c>
      <c r="BP20" s="170">
        <v>570.30499999999995</v>
      </c>
      <c r="BQ20" s="179">
        <v>237.636</v>
      </c>
      <c r="BR20" s="180">
        <v>286.47199999999998</v>
      </c>
      <c r="BS20" s="173">
        <v>524.10799999999995</v>
      </c>
      <c r="BT20" s="170">
        <v>546.90377121189954</v>
      </c>
      <c r="BU20" s="179">
        <v>330.012</v>
      </c>
      <c r="BV20" s="203">
        <v>404.42500000000001</v>
      </c>
      <c r="BW20" s="181">
        <v>734.43700000000001</v>
      </c>
      <c r="BX20" s="170">
        <v>3774.9670000000001</v>
      </c>
      <c r="BY20" s="176">
        <v>1695.2739999999999</v>
      </c>
      <c r="BZ20" s="177">
        <v>1842.152</v>
      </c>
      <c r="CA20" s="169">
        <v>3537.4259999999999</v>
      </c>
      <c r="CB20" s="170">
        <v>3774.9670000000001</v>
      </c>
      <c r="CC20" s="179">
        <v>1625.856</v>
      </c>
      <c r="CD20" s="180">
        <v>1911.7659999999998</v>
      </c>
      <c r="CE20" s="173">
        <v>3537.6219999999998</v>
      </c>
      <c r="CF20" s="170">
        <v>3748.05</v>
      </c>
      <c r="CG20" s="179"/>
      <c r="CH20" s="180"/>
      <c r="CI20" s="173">
        <v>0</v>
      </c>
      <c r="CJ20" s="170">
        <v>3557.547</v>
      </c>
      <c r="CK20" s="179">
        <v>2106.3609999999999</v>
      </c>
      <c r="CL20" s="180">
        <v>2079.4540000000002</v>
      </c>
      <c r="CM20" s="173">
        <v>4185.8150000000005</v>
      </c>
      <c r="CN20" s="170">
        <v>3271.56</v>
      </c>
      <c r="CO20" s="179">
        <v>1480.6030000000001</v>
      </c>
      <c r="CP20" s="180">
        <v>1439.742</v>
      </c>
      <c r="CQ20" s="173">
        <v>2920.3450000000003</v>
      </c>
      <c r="CR20" s="170">
        <v>3274.9835413104934</v>
      </c>
      <c r="CS20" s="179">
        <v>1599.604</v>
      </c>
      <c r="CT20" s="203">
        <v>1725.7429999999999</v>
      </c>
      <c r="CU20" s="181">
        <v>3325.3469999999998</v>
      </c>
      <c r="CV20" s="170">
        <v>1718</v>
      </c>
      <c r="CW20" s="176">
        <v>721.93700000000001</v>
      </c>
      <c r="CX20" s="177">
        <v>591.73900000000003</v>
      </c>
      <c r="CY20" s="169">
        <v>1313.6759999999999</v>
      </c>
      <c r="CZ20" s="170">
        <v>1856.7930000000001</v>
      </c>
      <c r="DA20" s="179">
        <v>710.55399999999997</v>
      </c>
      <c r="DB20" s="180">
        <v>1178.7080000000001</v>
      </c>
      <c r="DC20" s="173">
        <v>1889.2620000000002</v>
      </c>
      <c r="DD20" s="170">
        <v>1630.78</v>
      </c>
      <c r="DE20" s="179"/>
      <c r="DF20" s="180"/>
      <c r="DG20" s="173">
        <v>0</v>
      </c>
      <c r="DH20" s="170">
        <v>1390.423</v>
      </c>
      <c r="DI20" s="179">
        <v>698.12199999999996</v>
      </c>
      <c r="DJ20" s="180">
        <v>1126.691</v>
      </c>
      <c r="DK20" s="173">
        <v>1824.8130000000001</v>
      </c>
      <c r="DL20" s="170">
        <v>1185.4960000000001</v>
      </c>
      <c r="DM20" s="179">
        <v>666.91800000000001</v>
      </c>
      <c r="DN20" s="180">
        <v>578.58399999999995</v>
      </c>
      <c r="DO20" s="173">
        <v>1245.502</v>
      </c>
      <c r="DP20" s="170">
        <v>1430.5988898277599</v>
      </c>
      <c r="DQ20" s="179">
        <v>692.47699999999998</v>
      </c>
      <c r="DR20" s="203">
        <v>671.05899999999997</v>
      </c>
      <c r="DS20" s="181">
        <v>1363.5360000000001</v>
      </c>
      <c r="DT20" s="170">
        <v>1133.107</v>
      </c>
      <c r="DU20" s="176">
        <v>580.00599999999997</v>
      </c>
      <c r="DV20" s="177">
        <v>606.928</v>
      </c>
      <c r="DW20" s="174">
        <v>1186.934</v>
      </c>
      <c r="DX20" s="170">
        <v>1133.107</v>
      </c>
      <c r="DY20" s="179">
        <v>560.34199999999998</v>
      </c>
      <c r="DZ20" s="180">
        <v>593.98300000000006</v>
      </c>
      <c r="EA20" s="173">
        <v>1154.325</v>
      </c>
      <c r="EB20" s="170">
        <v>1069.973588231001</v>
      </c>
      <c r="EC20" s="179"/>
      <c r="ED20" s="180"/>
      <c r="EE20" s="173">
        <v>0</v>
      </c>
      <c r="EF20" s="170">
        <v>1069.973588231001</v>
      </c>
      <c r="EG20" s="179">
        <v>557.75400000000002</v>
      </c>
      <c r="EH20" s="180">
        <v>490.33800000000002</v>
      </c>
      <c r="EI20" s="173">
        <v>1048.0920000000001</v>
      </c>
      <c r="EJ20" s="170">
        <v>1057.74</v>
      </c>
      <c r="EK20" s="179">
        <v>328.84399999999999</v>
      </c>
      <c r="EL20" s="180">
        <v>800.51800000000003</v>
      </c>
      <c r="EM20" s="173">
        <v>1129.3620000000001</v>
      </c>
      <c r="EN20" s="170">
        <v>931.43116793728325</v>
      </c>
      <c r="EO20" s="179">
        <v>738.90700000000004</v>
      </c>
      <c r="EP20" s="180">
        <v>618.97900000000004</v>
      </c>
      <c r="EQ20" s="183">
        <v>1357.886</v>
      </c>
      <c r="ER20" s="63"/>
    </row>
    <row r="21" spans="1:148" s="20" customFormat="1" ht="12.75" customHeight="1" x14ac:dyDescent="0.2">
      <c r="A21" s="27" t="s">
        <v>103</v>
      </c>
      <c r="B21" s="37" t="s">
        <v>104</v>
      </c>
      <c r="C21" s="29" t="s">
        <v>87</v>
      </c>
      <c r="D21" s="170">
        <v>242949.70500000002</v>
      </c>
      <c r="E21" s="176">
        <v>89793.925999999992</v>
      </c>
      <c r="F21" s="177">
        <v>68172.756999999998</v>
      </c>
      <c r="G21" s="178">
        <f>E21+F21</f>
        <v>157966.68299999999</v>
      </c>
      <c r="H21" s="170">
        <f>D21</f>
        <v>242949.70500000002</v>
      </c>
      <c r="I21" s="179">
        <f>300611.236-I19-I20</f>
        <v>81605.235999999975</v>
      </c>
      <c r="J21" s="180">
        <f>249837.055-J19-J20</f>
        <v>54672.054999999993</v>
      </c>
      <c r="K21" s="181">
        <f>I21+J21</f>
        <v>136277.29099999997</v>
      </c>
      <c r="L21" s="170">
        <v>239506.10800000001</v>
      </c>
      <c r="M21" s="179"/>
      <c r="N21" s="180"/>
      <c r="O21" s="181">
        <f>M21+N21</f>
        <v>0</v>
      </c>
      <c r="P21" s="170">
        <v>224337.49</v>
      </c>
      <c r="Q21" s="179">
        <f t="shared" ref="Q21:R21" si="14">Q18-Q19-Q20</f>
        <v>71559.455000000016</v>
      </c>
      <c r="R21" s="180">
        <f t="shared" si="14"/>
        <v>34049.180999999975</v>
      </c>
      <c r="S21" s="181">
        <f>Q21+R21</f>
        <v>105608.636</v>
      </c>
      <c r="T21" s="170">
        <v>215225.01799999992</v>
      </c>
      <c r="U21" s="179">
        <f>248668.71414-U19-U20</f>
        <v>43013.363140000001</v>
      </c>
      <c r="V21" s="180">
        <f>204910.4676-V19-V20</f>
        <v>23403.238599999993</v>
      </c>
      <c r="W21" s="181">
        <f>U21+V21</f>
        <v>66416.601739999998</v>
      </c>
      <c r="X21" s="170">
        <v>23733.356999999916</v>
      </c>
      <c r="Y21" s="179">
        <v>37841.894999999997</v>
      </c>
      <c r="Z21" s="180">
        <v>23462.829000000002</v>
      </c>
      <c r="AA21" s="181">
        <v>61304.724000000002</v>
      </c>
      <c r="AB21" s="170">
        <v>874.62599999999975</v>
      </c>
      <c r="AC21" s="176">
        <v>376.02199999999993</v>
      </c>
      <c r="AD21" s="177">
        <v>302.66100000000006</v>
      </c>
      <c r="AE21" s="178">
        <v>678.68299999999999</v>
      </c>
      <c r="AF21" s="170">
        <v>874.62599999999975</v>
      </c>
      <c r="AG21" s="179">
        <v>416.77399999999989</v>
      </c>
      <c r="AH21" s="180">
        <v>415.43499999999995</v>
      </c>
      <c r="AI21" s="181">
        <v>832.20899999999983</v>
      </c>
      <c r="AJ21" s="170">
        <v>740.40392777763975</v>
      </c>
      <c r="AK21" s="179"/>
      <c r="AL21" s="180"/>
      <c r="AM21" s="181">
        <v>0</v>
      </c>
      <c r="AN21" s="170">
        <v>598.72400000000005</v>
      </c>
      <c r="AO21" s="179">
        <v>243.18600000000015</v>
      </c>
      <c r="AP21" s="180">
        <v>271.79900000000043</v>
      </c>
      <c r="AQ21" s="181">
        <v>514.98500000000058</v>
      </c>
      <c r="AR21" s="209">
        <v>512.67599999999993</v>
      </c>
      <c r="AS21" s="179">
        <v>480.82693000000017</v>
      </c>
      <c r="AT21" s="180">
        <v>827.95806999999968</v>
      </c>
      <c r="AU21" s="181">
        <v>1308.7849999999999</v>
      </c>
      <c r="AV21" s="170">
        <v>1637.4699999999998</v>
      </c>
      <c r="AW21" s="179">
        <v>227.78600000000006</v>
      </c>
      <c r="AX21" s="180">
        <v>172.19900000000007</v>
      </c>
      <c r="AY21" s="173">
        <v>399.98500000000013</v>
      </c>
      <c r="AZ21" s="170">
        <v>713.4559999999999</v>
      </c>
      <c r="BA21" s="176">
        <v>339.57299999999998</v>
      </c>
      <c r="BB21" s="177">
        <v>356.79</v>
      </c>
      <c r="BC21" s="182">
        <v>696.36300000000006</v>
      </c>
      <c r="BD21" s="170">
        <v>713.4559999999999</v>
      </c>
      <c r="BE21" s="179">
        <v>216.82099999999997</v>
      </c>
      <c r="BF21" s="180">
        <v>230.42400000000004</v>
      </c>
      <c r="BG21" s="183">
        <v>447.245</v>
      </c>
      <c r="BH21" s="170">
        <v>230.203</v>
      </c>
      <c r="BI21" s="179"/>
      <c r="BJ21" s="180"/>
      <c r="BK21" s="181">
        <v>0</v>
      </c>
      <c r="BL21" s="170">
        <v>216.779</v>
      </c>
      <c r="BM21" s="176">
        <v>236.41300000000012</v>
      </c>
      <c r="BN21" s="177">
        <v>239.48900000000026</v>
      </c>
      <c r="BO21" s="178">
        <v>475.90200000000038</v>
      </c>
      <c r="BP21" s="170">
        <v>205.51100000000076</v>
      </c>
      <c r="BQ21" s="179">
        <v>330.73199999999952</v>
      </c>
      <c r="BR21" s="180">
        <v>338.48599999999919</v>
      </c>
      <c r="BS21" s="181">
        <v>669.21799999999871</v>
      </c>
      <c r="BT21" s="170">
        <v>594.28044526349572</v>
      </c>
      <c r="BU21" s="179">
        <v>220.53699999999998</v>
      </c>
      <c r="BV21" s="180">
        <v>189.93900000000002</v>
      </c>
      <c r="BW21" s="181">
        <v>410.476</v>
      </c>
      <c r="BX21" s="170">
        <v>651.34199999999998</v>
      </c>
      <c r="BY21" s="176">
        <v>240.04800000000023</v>
      </c>
      <c r="BZ21" s="177">
        <v>262.596</v>
      </c>
      <c r="CA21" s="178">
        <v>502.64400000000023</v>
      </c>
      <c r="CB21" s="170">
        <v>651.34199999999998</v>
      </c>
      <c r="CC21" s="179">
        <v>111.67499999999995</v>
      </c>
      <c r="CD21" s="180">
        <v>188.69099999999958</v>
      </c>
      <c r="CE21" s="181">
        <v>300.36599999999953</v>
      </c>
      <c r="CF21" s="170">
        <v>532.572</v>
      </c>
      <c r="CG21" s="179"/>
      <c r="CH21" s="180"/>
      <c r="CI21" s="181">
        <v>0</v>
      </c>
      <c r="CJ21" s="170">
        <v>505.50299999999999</v>
      </c>
      <c r="CK21" s="179">
        <v>215.01700000000028</v>
      </c>
      <c r="CL21" s="180">
        <v>257.73100000000113</v>
      </c>
      <c r="CM21" s="181">
        <v>472.74800000000141</v>
      </c>
      <c r="CN21" s="170">
        <v>464.86599999999953</v>
      </c>
      <c r="CO21" s="179">
        <v>198.99</v>
      </c>
      <c r="CP21" s="180">
        <v>371.96900000000005</v>
      </c>
      <c r="CQ21" s="181">
        <v>570.95900000000006</v>
      </c>
      <c r="CR21" s="170">
        <v>640.29466647368645</v>
      </c>
      <c r="CS21" s="179">
        <v>173.57099999999991</v>
      </c>
      <c r="CT21" s="180">
        <v>255.38499999999999</v>
      </c>
      <c r="CU21" s="181">
        <v>428.9559999999999</v>
      </c>
      <c r="CV21" s="170">
        <v>900.14799999999991</v>
      </c>
      <c r="CW21" s="176">
        <v>281.52</v>
      </c>
      <c r="CX21" s="177">
        <v>466.31800000000021</v>
      </c>
      <c r="CY21" s="178">
        <v>747.83800000000019</v>
      </c>
      <c r="CZ21" s="170">
        <v>591.97800000000007</v>
      </c>
      <c r="DA21" s="179">
        <v>98.64999999999975</v>
      </c>
      <c r="DB21" s="180">
        <v>144.11599999999953</v>
      </c>
      <c r="DC21" s="181">
        <v>242.76599999999928</v>
      </c>
      <c r="DD21" s="170">
        <v>519.92100000000005</v>
      </c>
      <c r="DE21" s="179"/>
      <c r="DF21" s="180"/>
      <c r="DG21" s="181">
        <v>0</v>
      </c>
      <c r="DH21" s="170">
        <v>443.291</v>
      </c>
      <c r="DI21" s="179">
        <v>42.062999999999988</v>
      </c>
      <c r="DJ21" s="180">
        <v>103.08500000000072</v>
      </c>
      <c r="DK21" s="181">
        <v>145.14800000000071</v>
      </c>
      <c r="DL21" s="170">
        <v>377.95700000000033</v>
      </c>
      <c r="DM21" s="179">
        <v>73.906000000000063</v>
      </c>
      <c r="DN21" s="180">
        <v>222.822</v>
      </c>
      <c r="DO21" s="181">
        <v>296.72800000000007</v>
      </c>
      <c r="DP21" s="170">
        <v>340.82542411077043</v>
      </c>
      <c r="DQ21" s="179">
        <v>228.97500000000002</v>
      </c>
      <c r="DR21" s="180">
        <v>224.45000000000005</v>
      </c>
      <c r="DS21" s="181">
        <v>453.42500000000007</v>
      </c>
      <c r="DT21" s="170">
        <v>798.85</v>
      </c>
      <c r="DU21" s="176">
        <v>300.67</v>
      </c>
      <c r="DV21" s="177">
        <v>334.529</v>
      </c>
      <c r="DW21" s="182">
        <v>635.19900000000007</v>
      </c>
      <c r="DX21" s="170">
        <v>798.85</v>
      </c>
      <c r="DY21" s="179">
        <v>347.49400000000003</v>
      </c>
      <c r="DZ21" s="180">
        <v>303.32199999999989</v>
      </c>
      <c r="EA21" s="181">
        <v>650.81599999999992</v>
      </c>
      <c r="EB21" s="170">
        <v>754.34041176899905</v>
      </c>
      <c r="EC21" s="179"/>
      <c r="ED21" s="180"/>
      <c r="EE21" s="181">
        <v>0</v>
      </c>
      <c r="EF21" s="170">
        <v>754.34041176899905</v>
      </c>
      <c r="EG21" s="179">
        <v>288.13800000000003</v>
      </c>
      <c r="EH21" s="180">
        <v>424.63799999999986</v>
      </c>
      <c r="EI21" s="181">
        <v>712.77599999999984</v>
      </c>
      <c r="EJ21" s="170">
        <v>745.71499999999992</v>
      </c>
      <c r="EK21" s="179">
        <v>657.62799999999993</v>
      </c>
      <c r="EL21" s="180">
        <v>616.96100000000001</v>
      </c>
      <c r="EM21" s="181">
        <v>1274.5889999999999</v>
      </c>
      <c r="EN21" s="170">
        <v>1051.2058320627166</v>
      </c>
      <c r="EO21" s="179">
        <v>366.01300000000003</v>
      </c>
      <c r="EP21" s="180">
        <v>440.43499999999995</v>
      </c>
      <c r="EQ21" s="183">
        <v>806.44799999999998</v>
      </c>
      <c r="ER21" s="63"/>
    </row>
    <row r="22" spans="1:148" s="125" customFormat="1" ht="14.25" x14ac:dyDescent="0.2">
      <c r="A22" s="32" t="s">
        <v>105</v>
      </c>
      <c r="B22" s="122" t="s">
        <v>106</v>
      </c>
      <c r="C22" s="123" t="s">
        <v>87</v>
      </c>
      <c r="D22" s="184">
        <f t="shared" ref="D22:H22" si="15">D17-D18</f>
        <v>336217.13100000005</v>
      </c>
      <c r="E22" s="188">
        <f t="shared" si="15"/>
        <v>175720.52400000003</v>
      </c>
      <c r="F22" s="189">
        <f t="shared" si="15"/>
        <v>166559.32099999994</v>
      </c>
      <c r="G22" s="194">
        <f t="shared" si="15"/>
        <v>342279.84499999997</v>
      </c>
      <c r="H22" s="184">
        <f t="shared" si="15"/>
        <v>336217.13100000005</v>
      </c>
      <c r="I22" s="188">
        <f>I17-I18</f>
        <v>168923.73800000001</v>
      </c>
      <c r="J22" s="189">
        <f t="shared" ref="J22:K22" si="16">J17-J18</f>
        <v>167033.98299999995</v>
      </c>
      <c r="K22" s="194">
        <f t="shared" si="16"/>
        <v>335957.7209999999</v>
      </c>
      <c r="L22" s="184">
        <v>351831.30900000001</v>
      </c>
      <c r="M22" s="188">
        <f t="shared" ref="M22:W22" si="17">M17-M18</f>
        <v>0</v>
      </c>
      <c r="N22" s="189">
        <f t="shared" si="17"/>
        <v>0</v>
      </c>
      <c r="O22" s="194">
        <f t="shared" si="17"/>
        <v>0</v>
      </c>
      <c r="P22" s="184">
        <f t="shared" si="17"/>
        <v>349129.50099999993</v>
      </c>
      <c r="Q22" s="188">
        <f t="shared" si="17"/>
        <v>181947.61399999994</v>
      </c>
      <c r="R22" s="189">
        <f t="shared" si="17"/>
        <v>198230.28700000001</v>
      </c>
      <c r="S22" s="194">
        <f t="shared" si="17"/>
        <v>380177.90100000001</v>
      </c>
      <c r="T22" s="184">
        <f t="shared" si="17"/>
        <v>343633.41200000001</v>
      </c>
      <c r="U22" s="188">
        <f t="shared" si="17"/>
        <v>193430.06786000001</v>
      </c>
      <c r="V22" s="189">
        <f t="shared" si="17"/>
        <v>199328.06940000001</v>
      </c>
      <c r="W22" s="194">
        <f t="shared" si="17"/>
        <v>392758.13726000005</v>
      </c>
      <c r="X22" s="184">
        <v>401039.40699999995</v>
      </c>
      <c r="Y22" s="188">
        <v>204786.35900000003</v>
      </c>
      <c r="Z22" s="189">
        <v>201188.18100000001</v>
      </c>
      <c r="AA22" s="194">
        <v>405974.54000000015</v>
      </c>
      <c r="AB22" s="184">
        <v>34788.183999999994</v>
      </c>
      <c r="AC22" s="188">
        <v>16045.791999999998</v>
      </c>
      <c r="AD22" s="189">
        <v>15042.438000000002</v>
      </c>
      <c r="AE22" s="194">
        <v>31088.23</v>
      </c>
      <c r="AF22" s="184">
        <v>34788.183999999994</v>
      </c>
      <c r="AG22" s="194">
        <v>13422.249</v>
      </c>
      <c r="AH22" s="189">
        <v>12597.005000000001</v>
      </c>
      <c r="AI22" s="194">
        <v>26019.254000000001</v>
      </c>
      <c r="AJ22" s="184">
        <v>33274.895000000004</v>
      </c>
      <c r="AK22" s="194">
        <v>0</v>
      </c>
      <c r="AL22" s="189">
        <v>0</v>
      </c>
      <c r="AM22" s="194">
        <v>0</v>
      </c>
      <c r="AN22" s="184">
        <v>30088.780000000002</v>
      </c>
      <c r="AO22" s="194">
        <v>12820.322999999999</v>
      </c>
      <c r="AP22" s="189">
        <v>11446.530864199629</v>
      </c>
      <c r="AQ22" s="194">
        <v>24266.853864199627</v>
      </c>
      <c r="AR22" s="184">
        <v>27405.296000000002</v>
      </c>
      <c r="AS22" s="194">
        <v>10851.261069999997</v>
      </c>
      <c r="AT22" s="189">
        <v>10103.621930000003</v>
      </c>
      <c r="AU22" s="194">
        <v>20954.883000000002</v>
      </c>
      <c r="AV22" s="184">
        <v>23443.38</v>
      </c>
      <c r="AW22" s="188">
        <v>8695.8230000000003</v>
      </c>
      <c r="AX22" s="189">
        <v>6936.2939999999999</v>
      </c>
      <c r="AY22" s="194">
        <v>15632.116999999998</v>
      </c>
      <c r="AZ22" s="184">
        <v>11455.964000000004</v>
      </c>
      <c r="BA22" s="188">
        <v>5579.8130000000001</v>
      </c>
      <c r="BB22" s="189">
        <v>5374.2070000000012</v>
      </c>
      <c r="BC22" s="196">
        <v>10954.02</v>
      </c>
      <c r="BD22" s="184">
        <v>11455.964000000004</v>
      </c>
      <c r="BE22" s="194">
        <v>5063.2290000000012</v>
      </c>
      <c r="BF22" s="189">
        <v>4912.5879999999997</v>
      </c>
      <c r="BG22" s="196">
        <v>9975.8169999999991</v>
      </c>
      <c r="BH22" s="184">
        <v>11212.646999999999</v>
      </c>
      <c r="BI22" s="194">
        <v>0</v>
      </c>
      <c r="BJ22" s="189">
        <v>0</v>
      </c>
      <c r="BK22" s="194">
        <v>0</v>
      </c>
      <c r="BL22" s="184">
        <v>10734.207</v>
      </c>
      <c r="BM22" s="194">
        <v>5011.4550000000017</v>
      </c>
      <c r="BN22" s="189">
        <v>4507.8189999999995</v>
      </c>
      <c r="BO22" s="194">
        <v>9519.2740000000013</v>
      </c>
      <c r="BP22" s="184">
        <v>10335.306999999997</v>
      </c>
      <c r="BQ22" s="194">
        <v>4703.6880000000001</v>
      </c>
      <c r="BR22" s="189">
        <v>4461.2230000000009</v>
      </c>
      <c r="BS22" s="194">
        <v>9164.9110000000001</v>
      </c>
      <c r="BT22" s="184">
        <v>9586.7570336427125</v>
      </c>
      <c r="BU22" s="188">
        <v>4174.7690000000002</v>
      </c>
      <c r="BV22" s="189">
        <v>4378.8240000000005</v>
      </c>
      <c r="BW22" s="196">
        <v>8553.5930000000008</v>
      </c>
      <c r="BX22" s="184">
        <v>22093.891000000003</v>
      </c>
      <c r="BY22" s="188">
        <v>10628.811000000002</v>
      </c>
      <c r="BZ22" s="189">
        <v>9399.375</v>
      </c>
      <c r="CA22" s="194">
        <v>20028.185999999998</v>
      </c>
      <c r="CB22" s="184">
        <v>22093.891000000003</v>
      </c>
      <c r="CC22" s="194">
        <v>9369.9260000000031</v>
      </c>
      <c r="CD22" s="189">
        <v>9477.7020000000011</v>
      </c>
      <c r="CE22" s="194">
        <v>18847.628000000004</v>
      </c>
      <c r="CF22" s="184">
        <v>21446.711999999992</v>
      </c>
      <c r="CG22" s="194">
        <v>0</v>
      </c>
      <c r="CH22" s="189">
        <v>0</v>
      </c>
      <c r="CI22" s="194">
        <v>0</v>
      </c>
      <c r="CJ22" s="184">
        <v>20659.103000000003</v>
      </c>
      <c r="CK22" s="194">
        <v>9404.854000000003</v>
      </c>
      <c r="CL22" s="189">
        <v>9857.4909999999982</v>
      </c>
      <c r="CM22" s="194">
        <v>19262.345000000001</v>
      </c>
      <c r="CN22" s="184">
        <v>19078.618000000002</v>
      </c>
      <c r="CO22" s="194">
        <v>9458.7829999999994</v>
      </c>
      <c r="CP22" s="189">
        <v>9361.6040000000012</v>
      </c>
      <c r="CQ22" s="194">
        <v>18820.387000000002</v>
      </c>
      <c r="CR22" s="184">
        <v>18814.256999999998</v>
      </c>
      <c r="CS22" s="188">
        <v>10438.429</v>
      </c>
      <c r="CT22" s="189">
        <v>10243.779999999999</v>
      </c>
      <c r="CU22" s="194">
        <v>20682.208999999999</v>
      </c>
      <c r="CV22" s="184">
        <v>16016.152000000004</v>
      </c>
      <c r="CW22" s="188">
        <v>6728.2900000000009</v>
      </c>
      <c r="CX22" s="189">
        <v>6828.878999999999</v>
      </c>
      <c r="CY22" s="194">
        <v>13557.169</v>
      </c>
      <c r="CZ22" s="184">
        <v>15092.192999999996</v>
      </c>
      <c r="DA22" s="194">
        <v>6662.9219999999996</v>
      </c>
      <c r="DB22" s="189">
        <v>7052.1580000000031</v>
      </c>
      <c r="DC22" s="194">
        <v>13715.080000000002</v>
      </c>
      <c r="DD22" s="184">
        <v>14384.48</v>
      </c>
      <c r="DE22" s="194">
        <v>0</v>
      </c>
      <c r="DF22" s="189">
        <v>0</v>
      </c>
      <c r="DG22" s="194">
        <v>0</v>
      </c>
      <c r="DH22" s="184">
        <v>13949.361999999997</v>
      </c>
      <c r="DI22" s="194">
        <v>6226.2119999999995</v>
      </c>
      <c r="DJ22" s="189">
        <v>6105.788999999997</v>
      </c>
      <c r="DK22" s="194">
        <v>12332.000999999998</v>
      </c>
      <c r="DL22" s="184">
        <v>13612.26</v>
      </c>
      <c r="DM22" s="194">
        <v>6557.3219999999983</v>
      </c>
      <c r="DN22" s="189">
        <v>4809.2740000000003</v>
      </c>
      <c r="DO22" s="194">
        <v>11366.595999999998</v>
      </c>
      <c r="DP22" s="184">
        <v>12425.626999999999</v>
      </c>
      <c r="DQ22" s="188">
        <v>4612.8459999999995</v>
      </c>
      <c r="DR22" s="189">
        <v>4839.9239999999991</v>
      </c>
      <c r="DS22" s="194">
        <v>9452.77</v>
      </c>
      <c r="DT22" s="184">
        <v>24883.516000000003</v>
      </c>
      <c r="DU22" s="188">
        <v>11819.007</v>
      </c>
      <c r="DV22" s="189">
        <v>11732.043999999998</v>
      </c>
      <c r="DW22" s="196">
        <v>23551.050999999996</v>
      </c>
      <c r="DX22" s="184">
        <v>24883.516000000003</v>
      </c>
      <c r="DY22" s="194">
        <v>11418.12</v>
      </c>
      <c r="DZ22" s="189">
        <v>10862.278999999999</v>
      </c>
      <c r="EA22" s="194">
        <v>22280.399000000001</v>
      </c>
      <c r="EB22" s="184">
        <v>24496.774000000001</v>
      </c>
      <c r="EC22" s="194">
        <v>0</v>
      </c>
      <c r="ED22" s="189">
        <v>0</v>
      </c>
      <c r="EE22" s="194">
        <v>0</v>
      </c>
      <c r="EF22" s="184">
        <v>24496.774000000001</v>
      </c>
      <c r="EG22" s="194">
        <v>11375.128000000001</v>
      </c>
      <c r="EH22" s="189">
        <v>11067.324000000002</v>
      </c>
      <c r="EI22" s="194">
        <v>22442.452000000005</v>
      </c>
      <c r="EJ22" s="184">
        <v>22696.455000000002</v>
      </c>
      <c r="EK22" s="194">
        <v>10803.44</v>
      </c>
      <c r="EL22" s="189">
        <v>10635.295000000004</v>
      </c>
      <c r="EM22" s="194">
        <v>21438.735000000004</v>
      </c>
      <c r="EN22" s="184">
        <v>22046.392000000003</v>
      </c>
      <c r="EO22" s="188">
        <v>10882.677</v>
      </c>
      <c r="EP22" s="189">
        <v>11500.334999999999</v>
      </c>
      <c r="EQ22" s="196">
        <v>22383.011999999999</v>
      </c>
      <c r="ER22" s="124"/>
    </row>
    <row r="23" spans="1:148" s="98" customFormat="1" ht="15" x14ac:dyDescent="0.2">
      <c r="A23" s="94"/>
      <c r="B23" s="95" t="s">
        <v>107</v>
      </c>
      <c r="C23" s="96"/>
      <c r="D23" s="170">
        <f t="shared" ref="D23:W23" si="18">D24+D31+D34</f>
        <v>336217.13099999999</v>
      </c>
      <c r="E23" s="176">
        <f t="shared" si="18"/>
        <v>175720.524</v>
      </c>
      <c r="F23" s="177">
        <f t="shared" si="18"/>
        <v>166559.32100000003</v>
      </c>
      <c r="G23" s="178">
        <f t="shared" si="18"/>
        <v>342279.84499999997</v>
      </c>
      <c r="H23" s="170">
        <f t="shared" si="18"/>
        <v>336217.13099999999</v>
      </c>
      <c r="I23" s="179">
        <f>I24+I31+I34</f>
        <v>168923.73799999998</v>
      </c>
      <c r="J23" s="180">
        <f t="shared" ref="J23:K23" si="19">J24+J31+J34</f>
        <v>167033.98300000001</v>
      </c>
      <c r="K23" s="181">
        <f t="shared" si="19"/>
        <v>335957.72100000002</v>
      </c>
      <c r="L23" s="170">
        <v>351831.30899999995</v>
      </c>
      <c r="M23" s="179">
        <f t="shared" si="18"/>
        <v>0</v>
      </c>
      <c r="N23" s="180">
        <f t="shared" si="18"/>
        <v>0</v>
      </c>
      <c r="O23" s="181">
        <f t="shared" si="18"/>
        <v>0</v>
      </c>
      <c r="P23" s="170">
        <f>P24+P31+P34</f>
        <v>349129.50099999999</v>
      </c>
      <c r="Q23" s="179">
        <f t="shared" ref="Q23:S23" si="20">Q24+Q31+Q34</f>
        <v>181947.614</v>
      </c>
      <c r="R23" s="180">
        <f t="shared" si="20"/>
        <v>198230.28699999998</v>
      </c>
      <c r="S23" s="181">
        <f t="shared" si="20"/>
        <v>380177.90100000001</v>
      </c>
      <c r="T23" s="170">
        <f t="shared" si="18"/>
        <v>343633.41200000001</v>
      </c>
      <c r="U23" s="179">
        <f t="shared" si="18"/>
        <v>193430.06786000001</v>
      </c>
      <c r="V23" s="180">
        <f t="shared" si="18"/>
        <v>199328.06940000001</v>
      </c>
      <c r="W23" s="181">
        <f t="shared" si="18"/>
        <v>392758.13726000005</v>
      </c>
      <c r="X23" s="170">
        <v>401039.40700000001</v>
      </c>
      <c r="Y23" s="179">
        <v>204786.359</v>
      </c>
      <c r="Z23" s="180">
        <v>201188.18100000001</v>
      </c>
      <c r="AA23" s="181">
        <v>405974.54000000004</v>
      </c>
      <c r="AB23" s="170">
        <v>34788.184000000001</v>
      </c>
      <c r="AC23" s="176">
        <v>16045.791999999999</v>
      </c>
      <c r="AD23" s="177">
        <v>15042.438</v>
      </c>
      <c r="AE23" s="178">
        <v>31088.23</v>
      </c>
      <c r="AF23" s="170">
        <v>3610.3330000000001</v>
      </c>
      <c r="AG23" s="179">
        <v>13422.249</v>
      </c>
      <c r="AH23" s="180">
        <v>12597.004999999999</v>
      </c>
      <c r="AI23" s="181">
        <v>26019.254000000001</v>
      </c>
      <c r="AJ23" s="170">
        <v>33274.894999999997</v>
      </c>
      <c r="AK23" s="179">
        <v>0</v>
      </c>
      <c r="AL23" s="180">
        <v>0</v>
      </c>
      <c r="AM23" s="181">
        <v>0</v>
      </c>
      <c r="AN23" s="170">
        <v>30088.780000000002</v>
      </c>
      <c r="AO23" s="179">
        <v>12820.323</v>
      </c>
      <c r="AP23" s="180">
        <v>11446.530999999999</v>
      </c>
      <c r="AQ23" s="181">
        <v>24266.853999999999</v>
      </c>
      <c r="AR23" s="170">
        <v>27405.295999999998</v>
      </c>
      <c r="AS23" s="179">
        <v>10851.26107</v>
      </c>
      <c r="AT23" s="180">
        <v>10103.621929999999</v>
      </c>
      <c r="AU23" s="181">
        <v>20954.883000000002</v>
      </c>
      <c r="AV23" s="170">
        <v>23443.38</v>
      </c>
      <c r="AW23" s="179">
        <v>8695.8230000000003</v>
      </c>
      <c r="AX23" s="180">
        <v>6936.2940000000008</v>
      </c>
      <c r="AY23" s="181">
        <v>15632.117</v>
      </c>
      <c r="AZ23" s="170">
        <v>11455.964</v>
      </c>
      <c r="BA23" s="176">
        <v>5579.8130000000001</v>
      </c>
      <c r="BB23" s="177">
        <v>5374.2070000000003</v>
      </c>
      <c r="BC23" s="182">
        <v>10954.02</v>
      </c>
      <c r="BD23" s="170">
        <v>11455.964</v>
      </c>
      <c r="BE23" s="179">
        <v>5063.2290000000003</v>
      </c>
      <c r="BF23" s="180">
        <v>4912.5880000000006</v>
      </c>
      <c r="BG23" s="183">
        <v>9975.8170000000009</v>
      </c>
      <c r="BH23" s="170">
        <v>11212.647000000001</v>
      </c>
      <c r="BI23" s="179">
        <v>0</v>
      </c>
      <c r="BJ23" s="180">
        <v>0</v>
      </c>
      <c r="BK23" s="181">
        <v>0</v>
      </c>
      <c r="BL23" s="170">
        <v>10734.207</v>
      </c>
      <c r="BM23" s="176">
        <v>5011.4549999999999</v>
      </c>
      <c r="BN23" s="177">
        <v>4507.8189999999995</v>
      </c>
      <c r="BO23" s="178">
        <v>9519.2739999999994</v>
      </c>
      <c r="BP23" s="170">
        <v>10335.306999999999</v>
      </c>
      <c r="BQ23" s="179">
        <v>4703.6880000000001</v>
      </c>
      <c r="BR23" s="180">
        <v>4461.223</v>
      </c>
      <c r="BS23" s="181">
        <v>9164.9109999999982</v>
      </c>
      <c r="BT23" s="170">
        <v>9586.7569999999996</v>
      </c>
      <c r="BU23" s="179">
        <v>4174.7689999999993</v>
      </c>
      <c r="BV23" s="180">
        <v>4378.8240000000005</v>
      </c>
      <c r="BW23" s="183">
        <v>8553.5929999999989</v>
      </c>
      <c r="BX23" s="170">
        <v>22093.891000000003</v>
      </c>
      <c r="BY23" s="176">
        <v>10628.811</v>
      </c>
      <c r="BZ23" s="177">
        <v>9399.3750000000018</v>
      </c>
      <c r="CA23" s="178">
        <v>20028.186000000002</v>
      </c>
      <c r="CB23" s="170">
        <v>22093.891000000003</v>
      </c>
      <c r="CC23" s="179">
        <v>9369.9259999999995</v>
      </c>
      <c r="CD23" s="180">
        <v>9477.7020000000011</v>
      </c>
      <c r="CE23" s="181">
        <v>18847.628000000001</v>
      </c>
      <c r="CF23" s="170">
        <v>21446.712000000003</v>
      </c>
      <c r="CG23" s="179">
        <v>0</v>
      </c>
      <c r="CH23" s="180">
        <v>0</v>
      </c>
      <c r="CI23" s="181">
        <v>0</v>
      </c>
      <c r="CJ23" s="170">
        <v>20659.102999999999</v>
      </c>
      <c r="CK23" s="179">
        <v>9404.8539999999994</v>
      </c>
      <c r="CL23" s="180">
        <v>9857.4910000000018</v>
      </c>
      <c r="CM23" s="181">
        <v>19262.345000000001</v>
      </c>
      <c r="CN23" s="170">
        <v>19078.617999999999</v>
      </c>
      <c r="CO23" s="179">
        <v>9458.7829999999994</v>
      </c>
      <c r="CP23" s="180">
        <v>9361.6039999999994</v>
      </c>
      <c r="CQ23" s="181">
        <v>18820.386999999999</v>
      </c>
      <c r="CR23" s="170">
        <v>18814.257000000001</v>
      </c>
      <c r="CS23" s="179">
        <v>10438.4292</v>
      </c>
      <c r="CT23" s="180">
        <v>10243.779999999999</v>
      </c>
      <c r="CU23" s="181">
        <v>20682.209200000001</v>
      </c>
      <c r="CV23" s="170">
        <v>16016.152000000002</v>
      </c>
      <c r="CW23" s="176">
        <v>6728.29</v>
      </c>
      <c r="CX23" s="177">
        <v>6828.8789999999999</v>
      </c>
      <c r="CY23" s="178">
        <v>13557.169</v>
      </c>
      <c r="CZ23" s="170">
        <v>15092.193000000001</v>
      </c>
      <c r="DA23" s="179">
        <v>6662.9220000000005</v>
      </c>
      <c r="DB23" s="180">
        <v>7052.1579999999994</v>
      </c>
      <c r="DC23" s="181">
        <v>13715.08</v>
      </c>
      <c r="DD23" s="170">
        <v>14384.48</v>
      </c>
      <c r="DE23" s="179">
        <v>0</v>
      </c>
      <c r="DF23" s="180">
        <v>0</v>
      </c>
      <c r="DG23" s="181">
        <v>0</v>
      </c>
      <c r="DH23" s="170">
        <v>13949.361999999999</v>
      </c>
      <c r="DI23" s="179">
        <v>6226.2119999999995</v>
      </c>
      <c r="DJ23" s="180">
        <v>6105.7890000000007</v>
      </c>
      <c r="DK23" s="181">
        <v>12332.001</v>
      </c>
      <c r="DL23" s="170">
        <v>13612.26</v>
      </c>
      <c r="DM23" s="179">
        <v>6557.3220000000001</v>
      </c>
      <c r="DN23" s="180">
        <v>4809.2740000000003</v>
      </c>
      <c r="DO23" s="181">
        <v>11366.596</v>
      </c>
      <c r="DP23" s="170">
        <v>12425.626999999999</v>
      </c>
      <c r="DQ23" s="179">
        <v>4612.8459999999995</v>
      </c>
      <c r="DR23" s="180">
        <v>4839.924</v>
      </c>
      <c r="DS23" s="181">
        <v>9452.77</v>
      </c>
      <c r="DT23" s="170">
        <v>24883.511999999999</v>
      </c>
      <c r="DU23" s="176">
        <v>11819.007</v>
      </c>
      <c r="DV23" s="177">
        <v>11732.044</v>
      </c>
      <c r="DW23" s="182">
        <v>23551.050999999999</v>
      </c>
      <c r="DX23" s="170">
        <v>24883.511999999999</v>
      </c>
      <c r="DY23" s="179">
        <v>11418.12</v>
      </c>
      <c r="DZ23" s="180">
        <v>10862.279</v>
      </c>
      <c r="EA23" s="181">
        <v>22280.399000000001</v>
      </c>
      <c r="EB23" s="170">
        <v>24496.774000000001</v>
      </c>
      <c r="EC23" s="179">
        <v>0</v>
      </c>
      <c r="ED23" s="180">
        <v>0</v>
      </c>
      <c r="EE23" s="181">
        <v>0</v>
      </c>
      <c r="EF23" s="170">
        <v>24496.774000000001</v>
      </c>
      <c r="EG23" s="179">
        <v>11375.128000000001</v>
      </c>
      <c r="EH23" s="180">
        <v>11067.324000000001</v>
      </c>
      <c r="EI23" s="181">
        <v>22442.452000000001</v>
      </c>
      <c r="EJ23" s="170">
        <v>22696.455000000002</v>
      </c>
      <c r="EK23" s="179">
        <v>10803.44</v>
      </c>
      <c r="EL23" s="180">
        <v>10635.295</v>
      </c>
      <c r="EM23" s="181">
        <v>21438.735000000001</v>
      </c>
      <c r="EN23" s="170">
        <v>22046.392</v>
      </c>
      <c r="EO23" s="179">
        <v>10882.677</v>
      </c>
      <c r="EP23" s="180">
        <v>11500.335000000003</v>
      </c>
      <c r="EQ23" s="183">
        <v>22383.012000000002</v>
      </c>
      <c r="ER23" s="97"/>
    </row>
    <row r="24" spans="1:148" s="35" customFormat="1" ht="14.25" x14ac:dyDescent="0.2">
      <c r="A24" s="42" t="s">
        <v>108</v>
      </c>
      <c r="B24" s="43" t="s">
        <v>109</v>
      </c>
      <c r="C24" s="44" t="s">
        <v>87</v>
      </c>
      <c r="D24" s="210">
        <f t="shared" ref="D24:K24" si="21">D25+D28</f>
        <v>260299.864</v>
      </c>
      <c r="E24" s="211">
        <f t="shared" si="21"/>
        <v>141054.50899999999</v>
      </c>
      <c r="F24" s="212">
        <f t="shared" si="21"/>
        <v>136714.09700000004</v>
      </c>
      <c r="G24" s="187">
        <f t="shared" si="21"/>
        <v>277768.60600000003</v>
      </c>
      <c r="H24" s="184">
        <f t="shared" si="21"/>
        <v>260299.864</v>
      </c>
      <c r="I24" s="213">
        <f t="shared" si="21"/>
        <v>139909.05499999999</v>
      </c>
      <c r="J24" s="214">
        <f t="shared" si="21"/>
        <v>136179.38500000001</v>
      </c>
      <c r="K24" s="190">
        <f t="shared" si="21"/>
        <v>276088.44</v>
      </c>
      <c r="L24" s="184">
        <v>278417.87699999998</v>
      </c>
      <c r="M24" s="213">
        <f t="shared" ref="M24:W24" si="22">M25+M28</f>
        <v>0</v>
      </c>
      <c r="N24" s="214">
        <f t="shared" si="22"/>
        <v>0</v>
      </c>
      <c r="O24" s="190">
        <f t="shared" si="22"/>
        <v>0</v>
      </c>
      <c r="P24" s="184">
        <f t="shared" si="22"/>
        <v>281540.245</v>
      </c>
      <c r="Q24" s="213">
        <f t="shared" si="22"/>
        <v>143811.625</v>
      </c>
      <c r="R24" s="214">
        <f t="shared" si="22"/>
        <v>144970.87599999999</v>
      </c>
      <c r="S24" s="190">
        <f t="shared" si="22"/>
        <v>288782.50099999999</v>
      </c>
      <c r="T24" s="184">
        <f t="shared" si="22"/>
        <v>276450.83399999997</v>
      </c>
      <c r="U24" s="213">
        <f t="shared" si="22"/>
        <v>142174.64986</v>
      </c>
      <c r="V24" s="214">
        <f t="shared" si="22"/>
        <v>141741.2874</v>
      </c>
      <c r="W24" s="190">
        <f t="shared" si="22"/>
        <v>283915.93726000004</v>
      </c>
      <c r="X24" s="184">
        <v>286755.09700000001</v>
      </c>
      <c r="Y24" s="213">
        <v>146188.57399999999</v>
      </c>
      <c r="Z24" s="214">
        <v>144281.5</v>
      </c>
      <c r="AA24" s="190">
        <v>290470.07400000002</v>
      </c>
      <c r="AB24" s="210">
        <v>31177.851000000002</v>
      </c>
      <c r="AC24" s="211">
        <v>14657.791999999999</v>
      </c>
      <c r="AD24" s="212">
        <v>13948.438</v>
      </c>
      <c r="AE24" s="187">
        <v>28606.23</v>
      </c>
      <c r="AF24" s="184">
        <v>0</v>
      </c>
      <c r="AG24" s="213">
        <v>12236.249</v>
      </c>
      <c r="AH24" s="214">
        <v>11712.004999999999</v>
      </c>
      <c r="AI24" s="190">
        <v>23948.254000000001</v>
      </c>
      <c r="AJ24" s="184">
        <v>30060.227999999999</v>
      </c>
      <c r="AK24" s="213">
        <v>0</v>
      </c>
      <c r="AL24" s="214">
        <v>0</v>
      </c>
      <c r="AM24" s="190">
        <v>0</v>
      </c>
      <c r="AN24" s="184">
        <v>27659.113000000001</v>
      </c>
      <c r="AO24" s="213">
        <v>11534.323</v>
      </c>
      <c r="AP24" s="214">
        <v>10459.530999999999</v>
      </c>
      <c r="AQ24" s="190">
        <v>21993.853999999999</v>
      </c>
      <c r="AR24" s="184">
        <v>25192.295999999998</v>
      </c>
      <c r="AS24" s="213">
        <v>9764.2610700000005</v>
      </c>
      <c r="AT24" s="214">
        <v>9330.6219299999993</v>
      </c>
      <c r="AU24" s="190">
        <v>19094.883000000002</v>
      </c>
      <c r="AV24" s="184">
        <v>21370.38</v>
      </c>
      <c r="AW24" s="213">
        <v>7868.0230000000001</v>
      </c>
      <c r="AX24" s="214">
        <v>6257.4940000000006</v>
      </c>
      <c r="AY24" s="190">
        <v>14125.517</v>
      </c>
      <c r="AZ24" s="210">
        <v>10410.964</v>
      </c>
      <c r="BA24" s="211">
        <v>5042.8130000000001</v>
      </c>
      <c r="BB24" s="212">
        <v>5036.2070000000003</v>
      </c>
      <c r="BC24" s="191">
        <v>10079.02</v>
      </c>
      <c r="BD24" s="184">
        <v>10410.964</v>
      </c>
      <c r="BE24" s="213">
        <v>4804.2290000000003</v>
      </c>
      <c r="BF24" s="214">
        <v>4547.759</v>
      </c>
      <c r="BG24" s="192">
        <v>9351.9880000000012</v>
      </c>
      <c r="BH24" s="184">
        <v>10201.647000000001</v>
      </c>
      <c r="BI24" s="213">
        <v>0</v>
      </c>
      <c r="BJ24" s="214">
        <v>0</v>
      </c>
      <c r="BK24" s="190">
        <v>0</v>
      </c>
      <c r="BL24" s="184">
        <v>9862.2639999999992</v>
      </c>
      <c r="BM24" s="211">
        <v>4651.2889999999998</v>
      </c>
      <c r="BN24" s="212">
        <v>4197.2159999999994</v>
      </c>
      <c r="BO24" s="187">
        <v>8848.5049999999992</v>
      </c>
      <c r="BP24" s="184">
        <v>9631.57</v>
      </c>
      <c r="BQ24" s="213">
        <v>4188.5919999999996</v>
      </c>
      <c r="BR24" s="214">
        <v>4117.1890000000003</v>
      </c>
      <c r="BS24" s="190">
        <v>8305.780999999999</v>
      </c>
      <c r="BT24" s="184">
        <v>8872.6630000000005</v>
      </c>
      <c r="BU24" s="213">
        <v>3959.3689999999992</v>
      </c>
      <c r="BV24" s="214">
        <v>3829.9980000000005</v>
      </c>
      <c r="BW24" s="192">
        <v>7789.3669999999993</v>
      </c>
      <c r="BX24" s="210">
        <v>18128.589000000004</v>
      </c>
      <c r="BY24" s="211">
        <v>8847.3109999999997</v>
      </c>
      <c r="BZ24" s="212">
        <v>8336.3750000000018</v>
      </c>
      <c r="CA24" s="187">
        <v>17183.686000000002</v>
      </c>
      <c r="CB24" s="184">
        <v>18128.589000000004</v>
      </c>
      <c r="CC24" s="213">
        <v>8523.9259999999995</v>
      </c>
      <c r="CD24" s="214">
        <v>8310.2020000000011</v>
      </c>
      <c r="CE24" s="190">
        <v>16834.128000000001</v>
      </c>
      <c r="CF24" s="184">
        <v>17954.112000000001</v>
      </c>
      <c r="CG24" s="213">
        <v>0</v>
      </c>
      <c r="CH24" s="214">
        <v>0</v>
      </c>
      <c r="CI24" s="190">
        <v>0</v>
      </c>
      <c r="CJ24" s="184">
        <v>17572.751</v>
      </c>
      <c r="CK24" s="213">
        <v>8551.3539999999994</v>
      </c>
      <c r="CL24" s="214">
        <v>8815.4910000000018</v>
      </c>
      <c r="CM24" s="190">
        <v>17366.845000000001</v>
      </c>
      <c r="CN24" s="184">
        <v>16835.617999999999</v>
      </c>
      <c r="CO24" s="213">
        <v>8421.7829999999994</v>
      </c>
      <c r="CP24" s="214">
        <v>8409.6039999999994</v>
      </c>
      <c r="CQ24" s="190">
        <v>16831.386999999999</v>
      </c>
      <c r="CR24" s="184">
        <v>16895.757000000001</v>
      </c>
      <c r="CS24" s="213">
        <v>8869.0972000000002</v>
      </c>
      <c r="CT24" s="214">
        <v>8793.2309999999998</v>
      </c>
      <c r="CU24" s="190">
        <v>17662.3282</v>
      </c>
      <c r="CV24" s="210">
        <v>12713.486000000001</v>
      </c>
      <c r="CW24" s="211">
        <v>4731.29</v>
      </c>
      <c r="CX24" s="212">
        <v>4161.8789999999999</v>
      </c>
      <c r="CY24" s="187">
        <v>8893.1689999999999</v>
      </c>
      <c r="CZ24" s="184">
        <v>11499.526000000002</v>
      </c>
      <c r="DA24" s="213">
        <v>4064.9220000000005</v>
      </c>
      <c r="DB24" s="214">
        <v>3870.1579999999999</v>
      </c>
      <c r="DC24" s="190">
        <v>7935.08</v>
      </c>
      <c r="DD24" s="184">
        <v>10267.48</v>
      </c>
      <c r="DE24" s="213">
        <v>0</v>
      </c>
      <c r="DF24" s="214">
        <v>0</v>
      </c>
      <c r="DG24" s="190">
        <v>0</v>
      </c>
      <c r="DH24" s="184">
        <v>9117.5509999999995</v>
      </c>
      <c r="DI24" s="213">
        <v>3310.212</v>
      </c>
      <c r="DJ24" s="214">
        <v>3562.7890000000002</v>
      </c>
      <c r="DK24" s="190">
        <v>6873.0010000000002</v>
      </c>
      <c r="DL24" s="184">
        <v>8054.5929999999998</v>
      </c>
      <c r="DM24" s="213">
        <v>3620.3220000000001</v>
      </c>
      <c r="DN24" s="214">
        <v>3087.23</v>
      </c>
      <c r="DO24" s="190">
        <v>6707.5519999999997</v>
      </c>
      <c r="DP24" s="184">
        <v>6972.0280000000002</v>
      </c>
      <c r="DQ24" s="213">
        <v>3457.8459999999995</v>
      </c>
      <c r="DR24" s="214">
        <v>3330.924</v>
      </c>
      <c r="DS24" s="190">
        <v>6788.7699999999995</v>
      </c>
      <c r="DT24" s="210">
        <v>23565.516</v>
      </c>
      <c r="DU24" s="211">
        <v>11127.007</v>
      </c>
      <c r="DV24" s="212">
        <v>11108.044</v>
      </c>
      <c r="DW24" s="191">
        <v>22235.050999999999</v>
      </c>
      <c r="DX24" s="184">
        <v>23565.516</v>
      </c>
      <c r="DY24" s="213">
        <v>10968.12</v>
      </c>
      <c r="DZ24" s="214">
        <v>10157.279</v>
      </c>
      <c r="EA24" s="190">
        <v>21125.399000000001</v>
      </c>
      <c r="EB24" s="184">
        <v>23160.774000000001</v>
      </c>
      <c r="EC24" s="213">
        <v>0</v>
      </c>
      <c r="ED24" s="214">
        <v>0</v>
      </c>
      <c r="EE24" s="190">
        <v>0</v>
      </c>
      <c r="EF24" s="184">
        <v>23160.774000000001</v>
      </c>
      <c r="EG24" s="213">
        <v>10322.128000000001</v>
      </c>
      <c r="EH24" s="214">
        <v>10079.324000000001</v>
      </c>
      <c r="EI24" s="190">
        <v>20401.452000000001</v>
      </c>
      <c r="EJ24" s="184">
        <v>21398.989000000001</v>
      </c>
      <c r="EK24" s="213">
        <v>9955.44</v>
      </c>
      <c r="EL24" s="214">
        <v>9672.2950000000001</v>
      </c>
      <c r="EM24" s="190">
        <v>19627.735000000001</v>
      </c>
      <c r="EN24" s="184">
        <v>20288.567999999999</v>
      </c>
      <c r="EO24" s="213">
        <v>9966.476999999999</v>
      </c>
      <c r="EP24" s="214">
        <v>10612.135000000002</v>
      </c>
      <c r="EQ24" s="192">
        <v>20578.612000000001</v>
      </c>
      <c r="ER24" s="64"/>
    </row>
    <row r="25" spans="1:148" s="20" customFormat="1" ht="15.75" customHeight="1" x14ac:dyDescent="0.2">
      <c r="A25" s="27"/>
      <c r="B25" s="37" t="s">
        <v>110</v>
      </c>
      <c r="C25" s="29" t="s">
        <v>87</v>
      </c>
      <c r="D25" s="170">
        <v>260299.864</v>
      </c>
      <c r="E25" s="176">
        <f t="shared" ref="E25:K25" si="23">E26+E27</f>
        <v>141054.50899999999</v>
      </c>
      <c r="F25" s="177">
        <f t="shared" si="23"/>
        <v>136714.09700000004</v>
      </c>
      <c r="G25" s="215">
        <f t="shared" si="23"/>
        <v>277768.60600000003</v>
      </c>
      <c r="H25" s="170">
        <f t="shared" si="23"/>
        <v>260299.864</v>
      </c>
      <c r="I25" s="179">
        <f t="shared" si="23"/>
        <v>139909.05499999999</v>
      </c>
      <c r="J25" s="180">
        <f t="shared" si="23"/>
        <v>136179.38500000001</v>
      </c>
      <c r="K25" s="216">
        <f t="shared" si="23"/>
        <v>276088.44</v>
      </c>
      <c r="L25" s="170">
        <v>278417.87699999998</v>
      </c>
      <c r="M25" s="179">
        <f t="shared" ref="M25:W25" si="24">M26+M27</f>
        <v>0</v>
      </c>
      <c r="N25" s="180">
        <f t="shared" si="24"/>
        <v>0</v>
      </c>
      <c r="O25" s="216">
        <f t="shared" si="24"/>
        <v>0</v>
      </c>
      <c r="P25" s="170">
        <f t="shared" si="24"/>
        <v>281540.245</v>
      </c>
      <c r="Q25" s="179">
        <f t="shared" si="24"/>
        <v>143811.625</v>
      </c>
      <c r="R25" s="180">
        <f t="shared" si="24"/>
        <v>144970.87599999999</v>
      </c>
      <c r="S25" s="216">
        <f t="shared" si="24"/>
        <v>288782.50099999999</v>
      </c>
      <c r="T25" s="170">
        <f t="shared" si="24"/>
        <v>276450.83399999997</v>
      </c>
      <c r="U25" s="179">
        <f t="shared" si="24"/>
        <v>142174.64986</v>
      </c>
      <c r="V25" s="180">
        <f t="shared" si="24"/>
        <v>141741.2874</v>
      </c>
      <c r="W25" s="216">
        <f t="shared" si="24"/>
        <v>283915.93726000004</v>
      </c>
      <c r="X25" s="170">
        <v>286755.09700000001</v>
      </c>
      <c r="Y25" s="179">
        <v>146188.57399999999</v>
      </c>
      <c r="Z25" s="180">
        <v>144281.5</v>
      </c>
      <c r="AA25" s="216">
        <v>290470.07400000002</v>
      </c>
      <c r="AB25" s="170"/>
      <c r="AC25" s="176"/>
      <c r="AD25" s="177"/>
      <c r="AE25" s="215"/>
      <c r="AF25" s="170"/>
      <c r="AG25" s="179"/>
      <c r="AH25" s="180"/>
      <c r="AI25" s="216"/>
      <c r="AJ25" s="170"/>
      <c r="AK25" s="179"/>
      <c r="AL25" s="180"/>
      <c r="AM25" s="216"/>
      <c r="AN25" s="170"/>
      <c r="AO25" s="179"/>
      <c r="AP25" s="180"/>
      <c r="AQ25" s="216"/>
      <c r="AR25" s="170"/>
      <c r="AS25" s="179"/>
      <c r="AT25" s="180"/>
      <c r="AU25" s="216"/>
      <c r="AV25" s="170"/>
      <c r="AW25" s="179">
        <v>0</v>
      </c>
      <c r="AX25" s="180">
        <v>0</v>
      </c>
      <c r="AY25" s="216">
        <v>0</v>
      </c>
      <c r="AZ25" s="170"/>
      <c r="BA25" s="176"/>
      <c r="BB25" s="177"/>
      <c r="BC25" s="217"/>
      <c r="BD25" s="170"/>
      <c r="BE25" s="179"/>
      <c r="BF25" s="180"/>
      <c r="BG25" s="218"/>
      <c r="BH25" s="170"/>
      <c r="BI25" s="179"/>
      <c r="BJ25" s="180"/>
      <c r="BK25" s="216"/>
      <c r="BL25" s="170"/>
      <c r="BM25" s="176"/>
      <c r="BN25" s="177"/>
      <c r="BO25" s="215"/>
      <c r="BP25" s="170"/>
      <c r="BQ25" s="179"/>
      <c r="BR25" s="180"/>
      <c r="BS25" s="216"/>
      <c r="BT25" s="170"/>
      <c r="BU25" s="179">
        <v>0</v>
      </c>
      <c r="BV25" s="180">
        <v>0</v>
      </c>
      <c r="BW25" s="218">
        <v>0</v>
      </c>
      <c r="BX25" s="170"/>
      <c r="BY25" s="176"/>
      <c r="BZ25" s="177"/>
      <c r="CA25" s="215"/>
      <c r="CB25" s="170"/>
      <c r="CC25" s="179"/>
      <c r="CD25" s="180"/>
      <c r="CE25" s="216"/>
      <c r="CF25" s="170"/>
      <c r="CG25" s="179"/>
      <c r="CH25" s="180"/>
      <c r="CI25" s="216"/>
      <c r="CJ25" s="170"/>
      <c r="CK25" s="179"/>
      <c r="CL25" s="180"/>
      <c r="CM25" s="216"/>
      <c r="CN25" s="170"/>
      <c r="CO25" s="179"/>
      <c r="CP25" s="180"/>
      <c r="CQ25" s="216"/>
      <c r="CR25" s="170"/>
      <c r="CS25" s="179">
        <v>0</v>
      </c>
      <c r="CT25" s="180">
        <v>0</v>
      </c>
      <c r="CU25" s="216">
        <v>0</v>
      </c>
      <c r="CV25" s="170"/>
      <c r="CW25" s="176"/>
      <c r="CX25" s="177"/>
      <c r="CY25" s="215"/>
      <c r="CZ25" s="170"/>
      <c r="DA25" s="179"/>
      <c r="DB25" s="180"/>
      <c r="DC25" s="216"/>
      <c r="DD25" s="170"/>
      <c r="DE25" s="179"/>
      <c r="DF25" s="180"/>
      <c r="DG25" s="216"/>
      <c r="DH25" s="170"/>
      <c r="DI25" s="179"/>
      <c r="DJ25" s="180"/>
      <c r="DK25" s="216"/>
      <c r="DL25" s="170"/>
      <c r="DM25" s="179"/>
      <c r="DN25" s="180"/>
      <c r="DO25" s="216"/>
      <c r="DP25" s="170"/>
      <c r="DQ25" s="179">
        <v>0</v>
      </c>
      <c r="DR25" s="180">
        <v>0</v>
      </c>
      <c r="DS25" s="216">
        <v>0</v>
      </c>
      <c r="DT25" s="170"/>
      <c r="DU25" s="176"/>
      <c r="DV25" s="177"/>
      <c r="DW25" s="217"/>
      <c r="DX25" s="170"/>
      <c r="DY25" s="179"/>
      <c r="DZ25" s="180"/>
      <c r="EA25" s="216"/>
      <c r="EB25" s="170"/>
      <c r="EC25" s="179"/>
      <c r="ED25" s="180"/>
      <c r="EE25" s="216"/>
      <c r="EF25" s="170"/>
      <c r="EG25" s="179"/>
      <c r="EH25" s="180"/>
      <c r="EI25" s="216"/>
      <c r="EJ25" s="170"/>
      <c r="EK25" s="179"/>
      <c r="EL25" s="180"/>
      <c r="EM25" s="216">
        <v>0</v>
      </c>
      <c r="EN25" s="170"/>
      <c r="EO25" s="179">
        <v>0</v>
      </c>
      <c r="EP25" s="180">
        <v>0</v>
      </c>
      <c r="EQ25" s="218">
        <v>0</v>
      </c>
      <c r="ER25" s="63"/>
    </row>
    <row r="26" spans="1:148" s="20" customFormat="1" ht="15" x14ac:dyDescent="0.2">
      <c r="A26" s="24"/>
      <c r="B26" s="45" t="s">
        <v>111</v>
      </c>
      <c r="C26" s="26" t="s">
        <v>87</v>
      </c>
      <c r="D26" s="166">
        <v>34619.881999999998</v>
      </c>
      <c r="E26" s="167">
        <v>20290.195</v>
      </c>
      <c r="F26" s="168">
        <v>20195.027999999998</v>
      </c>
      <c r="G26" s="215">
        <f>E26+F26</f>
        <v>40485.222999999998</v>
      </c>
      <c r="H26" s="170">
        <f>D26</f>
        <v>34619.881999999998</v>
      </c>
      <c r="I26" s="171">
        <v>25560.124</v>
      </c>
      <c r="J26" s="172">
        <v>24096.405999999999</v>
      </c>
      <c r="K26" s="216">
        <f>I26+J26</f>
        <v>49656.53</v>
      </c>
      <c r="L26" s="170">
        <v>37029.578000000001</v>
      </c>
      <c r="M26" s="171"/>
      <c r="N26" s="172"/>
      <c r="O26" s="216">
        <f>M26+N26</f>
        <v>0</v>
      </c>
      <c r="P26" s="170">
        <v>37444.853000000003</v>
      </c>
      <c r="Q26" s="171">
        <f>[1]Билиб!E26-Q27</f>
        <v>37250.528999999995</v>
      </c>
      <c r="R26" s="172">
        <f>[1]Билиб!F26-R27</f>
        <v>26543.856999999989</v>
      </c>
      <c r="S26" s="216">
        <f>Q26+R26</f>
        <v>63794.385999999984</v>
      </c>
      <c r="T26" s="170">
        <v>36767.961329498037</v>
      </c>
      <c r="U26" s="171">
        <f>142174.64986-U27</f>
        <v>26916.907860000007</v>
      </c>
      <c r="V26" s="172">
        <f>141741.2874-V27</f>
        <v>40171.963400000008</v>
      </c>
      <c r="W26" s="216">
        <f>U26+V26</f>
        <v>67088.871260000014</v>
      </c>
      <c r="X26" s="170">
        <v>67759.760059416032</v>
      </c>
      <c r="Y26" s="171">
        <v>31271.629999999997</v>
      </c>
      <c r="Z26" s="172">
        <v>23695.326000000001</v>
      </c>
      <c r="AA26" s="181">
        <v>54966.955999999998</v>
      </c>
      <c r="AB26" s="166"/>
      <c r="AC26" s="176"/>
      <c r="AD26" s="177"/>
      <c r="AE26" s="178"/>
      <c r="AF26" s="170"/>
      <c r="AG26" s="179"/>
      <c r="AH26" s="180"/>
      <c r="AI26" s="181"/>
      <c r="AJ26" s="170"/>
      <c r="AK26" s="179"/>
      <c r="AL26" s="180"/>
      <c r="AM26" s="181"/>
      <c r="AN26" s="170"/>
      <c r="AO26" s="179"/>
      <c r="AP26" s="180"/>
      <c r="AQ26" s="181"/>
      <c r="AR26" s="170"/>
      <c r="AS26" s="179"/>
      <c r="AT26" s="180"/>
      <c r="AU26" s="181"/>
      <c r="AV26" s="170"/>
      <c r="AW26" s="171"/>
      <c r="AX26" s="172"/>
      <c r="AY26" s="216"/>
      <c r="AZ26" s="166"/>
      <c r="BA26" s="167"/>
      <c r="BB26" s="168"/>
      <c r="BC26" s="217"/>
      <c r="BD26" s="170"/>
      <c r="BE26" s="171"/>
      <c r="BF26" s="172"/>
      <c r="BG26" s="218"/>
      <c r="BH26" s="170"/>
      <c r="BI26" s="171"/>
      <c r="BJ26" s="172"/>
      <c r="BK26" s="216"/>
      <c r="BL26" s="170"/>
      <c r="BM26" s="167"/>
      <c r="BN26" s="168"/>
      <c r="BO26" s="215"/>
      <c r="BP26" s="170"/>
      <c r="BQ26" s="171"/>
      <c r="BR26" s="172"/>
      <c r="BS26" s="216"/>
      <c r="BT26" s="170"/>
      <c r="BU26" s="171"/>
      <c r="BV26" s="172"/>
      <c r="BW26" s="218"/>
      <c r="BX26" s="166"/>
      <c r="BY26" s="167"/>
      <c r="BZ26" s="168"/>
      <c r="CA26" s="215"/>
      <c r="CB26" s="170"/>
      <c r="CC26" s="171"/>
      <c r="CD26" s="172"/>
      <c r="CE26" s="216"/>
      <c r="CF26" s="170"/>
      <c r="CG26" s="171"/>
      <c r="CH26" s="172"/>
      <c r="CI26" s="216"/>
      <c r="CJ26" s="170"/>
      <c r="CK26" s="171"/>
      <c r="CL26" s="172"/>
      <c r="CM26" s="216"/>
      <c r="CN26" s="170"/>
      <c r="CO26" s="171"/>
      <c r="CP26" s="172"/>
      <c r="CQ26" s="216"/>
      <c r="CR26" s="170"/>
      <c r="CS26" s="171"/>
      <c r="CT26" s="172"/>
      <c r="CU26" s="216"/>
      <c r="CV26" s="166"/>
      <c r="CW26" s="167"/>
      <c r="CX26" s="168"/>
      <c r="CY26" s="215"/>
      <c r="CZ26" s="170"/>
      <c r="DA26" s="171"/>
      <c r="DB26" s="172"/>
      <c r="DC26" s="216"/>
      <c r="DD26" s="170"/>
      <c r="DE26" s="171"/>
      <c r="DF26" s="172"/>
      <c r="DG26" s="216"/>
      <c r="DH26" s="170"/>
      <c r="DI26" s="171"/>
      <c r="DJ26" s="172"/>
      <c r="DK26" s="216"/>
      <c r="DL26" s="170"/>
      <c r="DM26" s="171"/>
      <c r="DN26" s="172"/>
      <c r="DO26" s="216"/>
      <c r="DP26" s="170"/>
      <c r="DQ26" s="171"/>
      <c r="DR26" s="172"/>
      <c r="DS26" s="216"/>
      <c r="DT26" s="166"/>
      <c r="DU26" s="167"/>
      <c r="DV26" s="168"/>
      <c r="DW26" s="217"/>
      <c r="DX26" s="170"/>
      <c r="DY26" s="171"/>
      <c r="DZ26" s="172"/>
      <c r="EA26" s="216"/>
      <c r="EB26" s="170"/>
      <c r="EC26" s="171"/>
      <c r="ED26" s="172"/>
      <c r="EE26" s="216"/>
      <c r="EF26" s="170"/>
      <c r="EG26" s="171"/>
      <c r="EH26" s="172"/>
      <c r="EI26" s="216"/>
      <c r="EJ26" s="170"/>
      <c r="EK26" s="171"/>
      <c r="EL26" s="172"/>
      <c r="EM26" s="216">
        <v>0</v>
      </c>
      <c r="EN26" s="170"/>
      <c r="EO26" s="171"/>
      <c r="EP26" s="172"/>
      <c r="EQ26" s="218"/>
      <c r="ER26" s="63"/>
    </row>
    <row r="27" spans="1:148" s="20" customFormat="1" ht="15" x14ac:dyDescent="0.2">
      <c r="A27" s="27"/>
      <c r="B27" s="28" t="s">
        <v>112</v>
      </c>
      <c r="C27" s="29" t="s">
        <v>87</v>
      </c>
      <c r="D27" s="170">
        <v>225679.98199999999</v>
      </c>
      <c r="E27" s="176">
        <v>120764.31399999998</v>
      </c>
      <c r="F27" s="177">
        <v>116519.06900000005</v>
      </c>
      <c r="G27" s="169">
        <f>E27+F27</f>
        <v>237283.38300000003</v>
      </c>
      <c r="H27" s="170">
        <f>D27</f>
        <v>225679.98199999999</v>
      </c>
      <c r="I27" s="179">
        <v>114348.931</v>
      </c>
      <c r="J27" s="180">
        <v>112082.97900000001</v>
      </c>
      <c r="K27" s="173">
        <f>I27+J27</f>
        <v>226431.91</v>
      </c>
      <c r="L27" s="170">
        <v>241388.29899999997</v>
      </c>
      <c r="M27" s="179"/>
      <c r="N27" s="180"/>
      <c r="O27" s="173">
        <f>M27+N27</f>
        <v>0</v>
      </c>
      <c r="P27" s="170">
        <v>244095.39199999999</v>
      </c>
      <c r="Q27" s="179">
        <v>106561.09600000001</v>
      </c>
      <c r="R27" s="180">
        <v>118427.019</v>
      </c>
      <c r="S27" s="173">
        <f>Q27+R27</f>
        <v>224988.11499999999</v>
      </c>
      <c r="T27" s="170">
        <v>239682.87267050194</v>
      </c>
      <c r="U27" s="179">
        <v>115257.742</v>
      </c>
      <c r="V27" s="180">
        <f>101569.324</f>
        <v>101569.32399999999</v>
      </c>
      <c r="W27" s="173">
        <f>U27+V27</f>
        <v>216827.06599999999</v>
      </c>
      <c r="X27" s="170">
        <v>218995.33694058398</v>
      </c>
      <c r="Y27" s="179">
        <v>114916.944</v>
      </c>
      <c r="Z27" s="180">
        <v>120586.174</v>
      </c>
      <c r="AA27" s="181">
        <v>235503.11800000002</v>
      </c>
      <c r="AB27" s="170"/>
      <c r="AC27" s="176"/>
      <c r="AD27" s="177"/>
      <c r="AE27" s="178"/>
      <c r="AF27" s="170"/>
      <c r="AG27" s="179"/>
      <c r="AH27" s="180"/>
      <c r="AI27" s="181"/>
      <c r="AJ27" s="170"/>
      <c r="AK27" s="179"/>
      <c r="AL27" s="180"/>
      <c r="AM27" s="181"/>
      <c r="AN27" s="170"/>
      <c r="AO27" s="179"/>
      <c r="AP27" s="180"/>
      <c r="AQ27" s="181"/>
      <c r="AR27" s="170"/>
      <c r="AS27" s="179"/>
      <c r="AT27" s="180"/>
      <c r="AU27" s="181"/>
      <c r="AV27" s="170"/>
      <c r="AW27" s="179"/>
      <c r="AX27" s="180"/>
      <c r="AY27" s="173"/>
      <c r="AZ27" s="170"/>
      <c r="BA27" s="176"/>
      <c r="BB27" s="177"/>
      <c r="BC27" s="174"/>
      <c r="BD27" s="170"/>
      <c r="BE27" s="179"/>
      <c r="BF27" s="180"/>
      <c r="BG27" s="175"/>
      <c r="BH27" s="170"/>
      <c r="BI27" s="179"/>
      <c r="BJ27" s="180"/>
      <c r="BK27" s="173"/>
      <c r="BL27" s="170"/>
      <c r="BM27" s="176"/>
      <c r="BN27" s="177"/>
      <c r="BO27" s="169"/>
      <c r="BP27" s="170"/>
      <c r="BQ27" s="179"/>
      <c r="BR27" s="180"/>
      <c r="BS27" s="173"/>
      <c r="BT27" s="170"/>
      <c r="BU27" s="179"/>
      <c r="BV27" s="180"/>
      <c r="BW27" s="175"/>
      <c r="BX27" s="170"/>
      <c r="BY27" s="176"/>
      <c r="BZ27" s="177"/>
      <c r="CA27" s="169"/>
      <c r="CB27" s="170"/>
      <c r="CC27" s="179"/>
      <c r="CD27" s="180"/>
      <c r="CE27" s="173"/>
      <c r="CF27" s="170"/>
      <c r="CG27" s="179"/>
      <c r="CH27" s="180"/>
      <c r="CI27" s="173"/>
      <c r="CJ27" s="170"/>
      <c r="CK27" s="179"/>
      <c r="CL27" s="180"/>
      <c r="CM27" s="173"/>
      <c r="CN27" s="170"/>
      <c r="CO27" s="179"/>
      <c r="CP27" s="180"/>
      <c r="CQ27" s="173"/>
      <c r="CR27" s="170"/>
      <c r="CS27" s="179"/>
      <c r="CT27" s="180"/>
      <c r="CU27" s="173"/>
      <c r="CV27" s="170"/>
      <c r="CW27" s="176"/>
      <c r="CX27" s="177"/>
      <c r="CY27" s="169"/>
      <c r="CZ27" s="170"/>
      <c r="DA27" s="179"/>
      <c r="DB27" s="180"/>
      <c r="DC27" s="173"/>
      <c r="DD27" s="170"/>
      <c r="DE27" s="179"/>
      <c r="DF27" s="180"/>
      <c r="DG27" s="173"/>
      <c r="DH27" s="170"/>
      <c r="DI27" s="179"/>
      <c r="DJ27" s="180"/>
      <c r="DK27" s="173"/>
      <c r="DL27" s="170"/>
      <c r="DM27" s="179"/>
      <c r="DN27" s="180"/>
      <c r="DO27" s="173"/>
      <c r="DP27" s="170"/>
      <c r="DQ27" s="179"/>
      <c r="DR27" s="180"/>
      <c r="DS27" s="173"/>
      <c r="DT27" s="170"/>
      <c r="DU27" s="176"/>
      <c r="DV27" s="177"/>
      <c r="DW27" s="174"/>
      <c r="DX27" s="170"/>
      <c r="DY27" s="179"/>
      <c r="DZ27" s="180"/>
      <c r="EA27" s="173"/>
      <c r="EB27" s="170"/>
      <c r="EC27" s="179"/>
      <c r="ED27" s="180"/>
      <c r="EE27" s="173"/>
      <c r="EF27" s="170"/>
      <c r="EG27" s="179"/>
      <c r="EH27" s="180"/>
      <c r="EI27" s="173"/>
      <c r="EJ27" s="170"/>
      <c r="EK27" s="179"/>
      <c r="EL27" s="180"/>
      <c r="EM27" s="173">
        <v>0</v>
      </c>
      <c r="EN27" s="170"/>
      <c r="EO27" s="179"/>
      <c r="EP27" s="180"/>
      <c r="EQ27" s="175"/>
      <c r="ER27" s="63"/>
    </row>
    <row r="28" spans="1:148" s="35" customFormat="1" ht="15" x14ac:dyDescent="0.2">
      <c r="A28" s="30" t="s">
        <v>113</v>
      </c>
      <c r="B28" s="89" t="s">
        <v>114</v>
      </c>
      <c r="C28" s="34" t="s">
        <v>87</v>
      </c>
      <c r="D28" s="184"/>
      <c r="E28" s="185"/>
      <c r="F28" s="186"/>
      <c r="G28" s="187"/>
      <c r="H28" s="184"/>
      <c r="I28" s="188"/>
      <c r="J28" s="189"/>
      <c r="K28" s="190"/>
      <c r="L28" s="184"/>
      <c r="M28" s="188"/>
      <c r="N28" s="189"/>
      <c r="O28" s="190"/>
      <c r="P28" s="184"/>
      <c r="Q28" s="188"/>
      <c r="R28" s="189"/>
      <c r="S28" s="190"/>
      <c r="T28" s="184"/>
      <c r="U28" s="188"/>
      <c r="V28" s="189"/>
      <c r="W28" s="190"/>
      <c r="X28" s="184"/>
      <c r="Y28" s="188"/>
      <c r="Z28" s="189"/>
      <c r="AA28" s="190"/>
      <c r="AB28" s="184">
        <v>31177.851000000002</v>
      </c>
      <c r="AC28" s="185">
        <v>14657.791999999999</v>
      </c>
      <c r="AD28" s="186">
        <v>13948.438</v>
      </c>
      <c r="AE28" s="187">
        <v>28606.23</v>
      </c>
      <c r="AF28" s="184">
        <v>0</v>
      </c>
      <c r="AG28" s="188">
        <v>12236.249</v>
      </c>
      <c r="AH28" s="189">
        <v>11712.004999999999</v>
      </c>
      <c r="AI28" s="190">
        <v>23948.254000000001</v>
      </c>
      <c r="AJ28" s="184">
        <v>30060.227999999999</v>
      </c>
      <c r="AK28" s="188">
        <v>0</v>
      </c>
      <c r="AL28" s="189">
        <v>0</v>
      </c>
      <c r="AM28" s="190">
        <v>0</v>
      </c>
      <c r="AN28" s="184">
        <v>27659.113000000001</v>
      </c>
      <c r="AO28" s="188">
        <v>11534.323</v>
      </c>
      <c r="AP28" s="189">
        <v>10459.530999999999</v>
      </c>
      <c r="AQ28" s="190">
        <v>21993.853999999999</v>
      </c>
      <c r="AR28" s="184">
        <v>25192.295999999998</v>
      </c>
      <c r="AS28" s="188">
        <v>9764.2610700000005</v>
      </c>
      <c r="AT28" s="189">
        <v>9330.6219299999993</v>
      </c>
      <c r="AU28" s="190">
        <v>19094.883000000002</v>
      </c>
      <c r="AV28" s="184">
        <v>21370.38</v>
      </c>
      <c r="AW28" s="190">
        <v>7868.0230000000001</v>
      </c>
      <c r="AX28" s="190">
        <v>6257.4940000000006</v>
      </c>
      <c r="AY28" s="190">
        <v>14125.517</v>
      </c>
      <c r="AZ28" s="184">
        <v>10410.964</v>
      </c>
      <c r="BA28" s="185">
        <v>5042.8130000000001</v>
      </c>
      <c r="BB28" s="186">
        <v>5036.2070000000003</v>
      </c>
      <c r="BC28" s="191">
        <v>10079.02</v>
      </c>
      <c r="BD28" s="184">
        <v>10410.964</v>
      </c>
      <c r="BE28" s="188">
        <v>4804.2290000000003</v>
      </c>
      <c r="BF28" s="189">
        <v>4547.759</v>
      </c>
      <c r="BG28" s="192">
        <v>9351.9880000000012</v>
      </c>
      <c r="BH28" s="184">
        <v>10201.647000000001</v>
      </c>
      <c r="BI28" s="188">
        <v>0</v>
      </c>
      <c r="BJ28" s="189">
        <v>0</v>
      </c>
      <c r="BK28" s="190">
        <v>0</v>
      </c>
      <c r="BL28" s="184">
        <v>9862.2639999999992</v>
      </c>
      <c r="BM28" s="185">
        <v>4651.2889999999998</v>
      </c>
      <c r="BN28" s="186">
        <v>4197.2159999999994</v>
      </c>
      <c r="BO28" s="187">
        <v>8848.5049999999992</v>
      </c>
      <c r="BP28" s="184">
        <v>9631.57</v>
      </c>
      <c r="BQ28" s="188">
        <v>4188.5919999999996</v>
      </c>
      <c r="BR28" s="189">
        <v>4117.1890000000003</v>
      </c>
      <c r="BS28" s="190">
        <v>8305.780999999999</v>
      </c>
      <c r="BT28" s="184">
        <v>8872.6630000000005</v>
      </c>
      <c r="BU28" s="219">
        <v>3959.3689999999992</v>
      </c>
      <c r="BV28" s="189">
        <v>3829.9980000000005</v>
      </c>
      <c r="BW28" s="220">
        <v>7789.3669999999993</v>
      </c>
      <c r="BX28" s="184">
        <v>18128.589000000004</v>
      </c>
      <c r="BY28" s="185">
        <v>8847.3109999999997</v>
      </c>
      <c r="BZ28" s="186">
        <v>8336.3750000000018</v>
      </c>
      <c r="CA28" s="187">
        <v>17183.686000000002</v>
      </c>
      <c r="CB28" s="184">
        <v>18128.589000000004</v>
      </c>
      <c r="CC28" s="188">
        <v>8523.9259999999995</v>
      </c>
      <c r="CD28" s="189">
        <v>8310.2020000000011</v>
      </c>
      <c r="CE28" s="190">
        <v>16834.128000000001</v>
      </c>
      <c r="CF28" s="184">
        <v>17954.112000000001</v>
      </c>
      <c r="CG28" s="188">
        <v>0</v>
      </c>
      <c r="CH28" s="189">
        <v>0</v>
      </c>
      <c r="CI28" s="190">
        <v>0</v>
      </c>
      <c r="CJ28" s="184">
        <v>17572.751</v>
      </c>
      <c r="CK28" s="188">
        <v>8551.3539999999994</v>
      </c>
      <c r="CL28" s="189">
        <v>8815.4910000000018</v>
      </c>
      <c r="CM28" s="190">
        <v>17366.845000000001</v>
      </c>
      <c r="CN28" s="184">
        <v>16835.617999999999</v>
      </c>
      <c r="CO28" s="188">
        <v>8421.7829999999994</v>
      </c>
      <c r="CP28" s="189">
        <v>8409.6039999999994</v>
      </c>
      <c r="CQ28" s="190">
        <v>16831.386999999999</v>
      </c>
      <c r="CR28" s="184">
        <v>16895.757000000001</v>
      </c>
      <c r="CS28" s="188">
        <v>8869.0972000000002</v>
      </c>
      <c r="CT28" s="189">
        <v>8793.2309999999998</v>
      </c>
      <c r="CU28" s="190">
        <v>17662.3282</v>
      </c>
      <c r="CV28" s="184">
        <v>12713.486000000001</v>
      </c>
      <c r="CW28" s="185">
        <v>4731.29</v>
      </c>
      <c r="CX28" s="186">
        <v>4161.8789999999999</v>
      </c>
      <c r="CY28" s="187">
        <v>8893.1689999999999</v>
      </c>
      <c r="CZ28" s="184">
        <v>11499.526000000002</v>
      </c>
      <c r="DA28" s="188">
        <v>4064.9220000000005</v>
      </c>
      <c r="DB28" s="189">
        <v>3870.1579999999999</v>
      </c>
      <c r="DC28" s="190">
        <v>7935.08</v>
      </c>
      <c r="DD28" s="184">
        <v>10267.48</v>
      </c>
      <c r="DE28" s="188">
        <v>0</v>
      </c>
      <c r="DF28" s="189">
        <v>0</v>
      </c>
      <c r="DG28" s="190">
        <v>0</v>
      </c>
      <c r="DH28" s="184">
        <v>9117.5509999999995</v>
      </c>
      <c r="DI28" s="188">
        <v>3310.212</v>
      </c>
      <c r="DJ28" s="189">
        <v>3562.7890000000002</v>
      </c>
      <c r="DK28" s="190">
        <v>6873.0010000000002</v>
      </c>
      <c r="DL28" s="184">
        <v>8054.5929999999998</v>
      </c>
      <c r="DM28" s="188">
        <v>3620.3220000000001</v>
      </c>
      <c r="DN28" s="189">
        <v>3087.23</v>
      </c>
      <c r="DO28" s="190">
        <v>6707.5519999999997</v>
      </c>
      <c r="DP28" s="184">
        <v>6972.0280000000002</v>
      </c>
      <c r="DQ28" s="188">
        <v>3457.8459999999995</v>
      </c>
      <c r="DR28" s="189">
        <v>3330.924</v>
      </c>
      <c r="DS28" s="181">
        <v>6788.7699999999995</v>
      </c>
      <c r="DT28" s="184">
        <v>23565.516</v>
      </c>
      <c r="DU28" s="185">
        <v>11127.007</v>
      </c>
      <c r="DV28" s="186">
        <v>11108.044</v>
      </c>
      <c r="DW28" s="191">
        <v>22235.050999999999</v>
      </c>
      <c r="DX28" s="184">
        <v>23565.516</v>
      </c>
      <c r="DY28" s="188">
        <v>10968.12</v>
      </c>
      <c r="DZ28" s="189">
        <v>10157.279</v>
      </c>
      <c r="EA28" s="190">
        <v>21125.399000000001</v>
      </c>
      <c r="EB28" s="184">
        <v>23160.774000000001</v>
      </c>
      <c r="EC28" s="188">
        <v>0</v>
      </c>
      <c r="ED28" s="189">
        <v>0</v>
      </c>
      <c r="EE28" s="190">
        <v>0</v>
      </c>
      <c r="EF28" s="184">
        <v>23160.774000000001</v>
      </c>
      <c r="EG28" s="188">
        <v>10322.128000000001</v>
      </c>
      <c r="EH28" s="189">
        <v>10079.324000000001</v>
      </c>
      <c r="EI28" s="190">
        <v>20401.452000000001</v>
      </c>
      <c r="EJ28" s="184">
        <v>21398.989000000001</v>
      </c>
      <c r="EK28" s="188">
        <v>9955.44</v>
      </c>
      <c r="EL28" s="189">
        <v>9672.2950000000001</v>
      </c>
      <c r="EM28" s="190">
        <v>19627.735000000001</v>
      </c>
      <c r="EN28" s="184">
        <v>20288.567999999999</v>
      </c>
      <c r="EO28" s="188">
        <v>9966.476999999999</v>
      </c>
      <c r="EP28" s="189">
        <v>10612.135000000002</v>
      </c>
      <c r="EQ28" s="192">
        <v>20578.612000000001</v>
      </c>
      <c r="ER28" s="64"/>
    </row>
    <row r="29" spans="1:148" s="20" customFormat="1" ht="15" x14ac:dyDescent="0.2">
      <c r="A29" s="27"/>
      <c r="B29" s="28" t="s">
        <v>111</v>
      </c>
      <c r="C29" s="29" t="s">
        <v>87</v>
      </c>
      <c r="D29" s="170"/>
      <c r="E29" s="176"/>
      <c r="F29" s="177"/>
      <c r="G29" s="169"/>
      <c r="H29" s="170"/>
      <c r="I29" s="179"/>
      <c r="J29" s="180"/>
      <c r="K29" s="173"/>
      <c r="L29" s="170"/>
      <c r="M29" s="179"/>
      <c r="N29" s="180"/>
      <c r="O29" s="173"/>
      <c r="P29" s="170"/>
      <c r="Q29" s="179"/>
      <c r="R29" s="180"/>
      <c r="S29" s="173"/>
      <c r="T29" s="170"/>
      <c r="U29" s="179"/>
      <c r="V29" s="180"/>
      <c r="W29" s="173"/>
      <c r="X29" s="170"/>
      <c r="Y29" s="179"/>
      <c r="Z29" s="180"/>
      <c r="AA29" s="173"/>
      <c r="AB29" s="170">
        <v>31177.851000000002</v>
      </c>
      <c r="AC29" s="176">
        <v>538</v>
      </c>
      <c r="AD29" s="177">
        <v>733</v>
      </c>
      <c r="AE29" s="178">
        <v>1271</v>
      </c>
      <c r="AF29" s="170"/>
      <c r="AG29" s="179">
        <v>1587</v>
      </c>
      <c r="AH29" s="180">
        <v>1737</v>
      </c>
      <c r="AI29" s="181">
        <v>3324</v>
      </c>
      <c r="AJ29" s="170">
        <v>29664.550999999999</v>
      </c>
      <c r="AK29" s="179">
        <v>0</v>
      </c>
      <c r="AL29" s="180">
        <v>0</v>
      </c>
      <c r="AM29" s="181">
        <v>0</v>
      </c>
      <c r="AN29" s="170">
        <v>27659.113000000001</v>
      </c>
      <c r="AO29" s="179">
        <v>9389.3230000000003</v>
      </c>
      <c r="AP29" s="180">
        <v>8734.530999999999</v>
      </c>
      <c r="AQ29" s="181">
        <v>18123.853999999999</v>
      </c>
      <c r="AR29" s="170">
        <v>25192.295999999998</v>
      </c>
      <c r="AS29" s="179">
        <v>1932.7710700000007</v>
      </c>
      <c r="AT29" s="180">
        <v>1436.2289299999993</v>
      </c>
      <c r="AU29" s="181">
        <v>3369</v>
      </c>
      <c r="AV29" s="170">
        <v>3770.4766360705144</v>
      </c>
      <c r="AW29" s="179">
        <v>1874</v>
      </c>
      <c r="AX29" s="180">
        <v>1462</v>
      </c>
      <c r="AY29" s="173">
        <v>3336</v>
      </c>
      <c r="AZ29" s="170">
        <v>0</v>
      </c>
      <c r="BA29" s="176">
        <v>1.571</v>
      </c>
      <c r="BB29" s="177">
        <v>18.314</v>
      </c>
      <c r="BC29" s="182">
        <v>19.885000000000002</v>
      </c>
      <c r="BD29" s="170"/>
      <c r="BE29" s="179">
        <v>29.04</v>
      </c>
      <c r="BF29" s="180">
        <v>29.752000000000002</v>
      </c>
      <c r="BG29" s="175">
        <v>58.792000000000002</v>
      </c>
      <c r="BH29" s="170"/>
      <c r="BI29" s="179"/>
      <c r="BJ29" s="180"/>
      <c r="BK29" s="173"/>
      <c r="BL29" s="170"/>
      <c r="BM29" s="176">
        <v>26.833999999999833</v>
      </c>
      <c r="BN29" s="177">
        <v>36.674999999998363</v>
      </c>
      <c r="BO29" s="178">
        <v>63.508999999998196</v>
      </c>
      <c r="BP29" s="170"/>
      <c r="BQ29" s="179">
        <v>28.024000000000001</v>
      </c>
      <c r="BR29" s="180">
        <v>26.946999999999996</v>
      </c>
      <c r="BS29" s="181">
        <v>54.970999999999997</v>
      </c>
      <c r="BT29" s="170">
        <v>58.722853127597773</v>
      </c>
      <c r="BU29" s="179">
        <v>28.233999999999998</v>
      </c>
      <c r="BV29" s="180">
        <v>41.500999999999998</v>
      </c>
      <c r="BW29" s="181">
        <v>69.734999999999999</v>
      </c>
      <c r="BX29" s="170">
        <v>1033.329</v>
      </c>
      <c r="BY29" s="176">
        <v>1307</v>
      </c>
      <c r="BZ29" s="177">
        <v>1394.01</v>
      </c>
      <c r="CA29" s="169">
        <v>2701.01</v>
      </c>
      <c r="CB29" s="170">
        <v>1033.329</v>
      </c>
      <c r="CC29" s="179">
        <v>1794</v>
      </c>
      <c r="CD29" s="180">
        <v>1818</v>
      </c>
      <c r="CE29" s="173">
        <v>3612</v>
      </c>
      <c r="CF29" s="170">
        <v>1023.384</v>
      </c>
      <c r="CG29" s="179"/>
      <c r="CH29" s="180"/>
      <c r="CI29" s="173">
        <v>0</v>
      </c>
      <c r="CJ29" s="170">
        <v>1001.646</v>
      </c>
      <c r="CK29" s="179">
        <v>2077.9999999999991</v>
      </c>
      <c r="CL29" s="180">
        <v>2341.0000000000018</v>
      </c>
      <c r="CM29" s="181">
        <v>4419.0000000000009</v>
      </c>
      <c r="CN29" s="170">
        <v>959.62945285163369</v>
      </c>
      <c r="CO29" s="179">
        <v>2050.9999999999991</v>
      </c>
      <c r="CP29" s="180">
        <v>1941.9999999999991</v>
      </c>
      <c r="CQ29" s="181">
        <v>3992.9999999999982</v>
      </c>
      <c r="CR29" s="170">
        <v>4008.2708395333066</v>
      </c>
      <c r="CS29" s="179">
        <v>2570</v>
      </c>
      <c r="CT29" s="180">
        <v>2468</v>
      </c>
      <c r="CU29" s="181">
        <v>5038</v>
      </c>
      <c r="CV29" s="170">
        <v>2957.1570000000002</v>
      </c>
      <c r="CW29" s="176"/>
      <c r="CX29" s="177"/>
      <c r="CY29" s="178">
        <v>0</v>
      </c>
      <c r="CZ29" s="170">
        <v>2688</v>
      </c>
      <c r="DA29" s="179">
        <v>2055.7820000000002</v>
      </c>
      <c r="DB29" s="180">
        <v>1898</v>
      </c>
      <c r="DC29" s="181">
        <v>3953.7820000000002</v>
      </c>
      <c r="DD29" s="170">
        <v>2400.011</v>
      </c>
      <c r="DE29" s="179"/>
      <c r="DF29" s="180"/>
      <c r="DG29" s="181">
        <v>0</v>
      </c>
      <c r="DH29" s="170">
        <v>2131.2159999999999</v>
      </c>
      <c r="DI29" s="179">
        <v>1565</v>
      </c>
      <c r="DJ29" s="180">
        <v>1692.0000000000002</v>
      </c>
      <c r="DK29" s="181">
        <v>3257</v>
      </c>
      <c r="DL29" s="170">
        <v>1882.751</v>
      </c>
      <c r="DM29" s="179">
        <v>1766.0000000000002</v>
      </c>
      <c r="DN29" s="180">
        <v>1228</v>
      </c>
      <c r="DO29" s="181">
        <v>2994</v>
      </c>
      <c r="DP29" s="170">
        <v>3112.05218118324</v>
      </c>
      <c r="DQ29" s="179">
        <v>849</v>
      </c>
      <c r="DR29" s="180">
        <v>962</v>
      </c>
      <c r="DS29" s="181">
        <v>1811</v>
      </c>
      <c r="DT29" s="170">
        <v>23565.516</v>
      </c>
      <c r="DU29" s="176">
        <v>0</v>
      </c>
      <c r="DV29" s="177">
        <v>46</v>
      </c>
      <c r="DW29" s="217">
        <v>46</v>
      </c>
      <c r="DX29" s="170">
        <v>23565.516</v>
      </c>
      <c r="DY29" s="179">
        <v>100</v>
      </c>
      <c r="DZ29" s="180">
        <v>223</v>
      </c>
      <c r="EA29" s="216">
        <v>323</v>
      </c>
      <c r="EB29" s="170"/>
      <c r="EC29" s="179"/>
      <c r="ED29" s="180"/>
      <c r="EE29" s="216">
        <v>0</v>
      </c>
      <c r="EF29" s="170"/>
      <c r="EG29" s="179">
        <v>446</v>
      </c>
      <c r="EH29" s="180">
        <v>379</v>
      </c>
      <c r="EI29" s="216">
        <v>825</v>
      </c>
      <c r="EJ29" s="170">
        <v>21398.989000000001</v>
      </c>
      <c r="EK29" s="179">
        <v>400</v>
      </c>
      <c r="EL29" s="180">
        <v>398</v>
      </c>
      <c r="EM29" s="216">
        <v>798</v>
      </c>
      <c r="EN29" s="170"/>
      <c r="EO29" s="179">
        <v>403</v>
      </c>
      <c r="EP29" s="180">
        <v>327</v>
      </c>
      <c r="EQ29" s="183">
        <v>730</v>
      </c>
      <c r="ER29" s="63"/>
    </row>
    <row r="30" spans="1:148" s="20" customFormat="1" ht="15" x14ac:dyDescent="0.2">
      <c r="A30" s="27"/>
      <c r="B30" s="28" t="s">
        <v>112</v>
      </c>
      <c r="C30" s="29" t="s">
        <v>87</v>
      </c>
      <c r="D30" s="170"/>
      <c r="E30" s="176"/>
      <c r="F30" s="177"/>
      <c r="G30" s="178"/>
      <c r="H30" s="170"/>
      <c r="I30" s="179"/>
      <c r="J30" s="180"/>
      <c r="K30" s="181"/>
      <c r="L30" s="170"/>
      <c r="M30" s="179"/>
      <c r="N30" s="180"/>
      <c r="O30" s="181"/>
      <c r="P30" s="170"/>
      <c r="Q30" s="179"/>
      <c r="R30" s="180"/>
      <c r="S30" s="181"/>
      <c r="T30" s="170"/>
      <c r="U30" s="179"/>
      <c r="V30" s="180"/>
      <c r="W30" s="181"/>
      <c r="X30" s="170"/>
      <c r="Y30" s="179"/>
      <c r="Z30" s="180"/>
      <c r="AA30" s="181"/>
      <c r="AB30" s="170">
        <v>0</v>
      </c>
      <c r="AC30" s="176">
        <v>14119.791999999999</v>
      </c>
      <c r="AD30" s="177">
        <v>13215.438</v>
      </c>
      <c r="AE30" s="178">
        <v>27335.23</v>
      </c>
      <c r="AF30" s="170">
        <v>0</v>
      </c>
      <c r="AG30" s="179">
        <v>10649.249</v>
      </c>
      <c r="AH30" s="180">
        <v>9975.0049999999992</v>
      </c>
      <c r="AI30" s="181">
        <v>20624.254000000001</v>
      </c>
      <c r="AJ30" s="170"/>
      <c r="AK30" s="179"/>
      <c r="AL30" s="180"/>
      <c r="AM30" s="181">
        <v>0</v>
      </c>
      <c r="AN30" s="170"/>
      <c r="AO30" s="179">
        <v>2145</v>
      </c>
      <c r="AP30" s="180">
        <v>1725</v>
      </c>
      <c r="AQ30" s="181">
        <v>3870</v>
      </c>
      <c r="AR30" s="170"/>
      <c r="AS30" s="179">
        <v>7831.49</v>
      </c>
      <c r="AT30" s="180">
        <v>7894.393</v>
      </c>
      <c r="AU30" s="181">
        <v>15725.883</v>
      </c>
      <c r="AV30" s="170">
        <v>17599.903363929487</v>
      </c>
      <c r="AW30" s="179">
        <v>5994.0230000000001</v>
      </c>
      <c r="AX30" s="180">
        <v>4795.4940000000006</v>
      </c>
      <c r="AY30" s="173">
        <v>10789.517</v>
      </c>
      <c r="AZ30" s="170">
        <v>10410.964</v>
      </c>
      <c r="BA30" s="176">
        <v>5041.2420000000002</v>
      </c>
      <c r="BB30" s="177">
        <v>5017.893</v>
      </c>
      <c r="BC30" s="182">
        <v>10059.135</v>
      </c>
      <c r="BD30" s="170">
        <v>10410.964</v>
      </c>
      <c r="BE30" s="179">
        <v>4775.1890000000003</v>
      </c>
      <c r="BF30" s="180">
        <v>4518.0069999999996</v>
      </c>
      <c r="BG30" s="183">
        <v>9293.1959999999999</v>
      </c>
      <c r="BH30" s="170">
        <v>10201.647000000001</v>
      </c>
      <c r="BI30" s="179"/>
      <c r="BJ30" s="180"/>
      <c r="BK30" s="181">
        <v>0</v>
      </c>
      <c r="BL30" s="170">
        <v>9862.2639999999992</v>
      </c>
      <c r="BM30" s="176">
        <v>4624.4549999999999</v>
      </c>
      <c r="BN30" s="177">
        <v>4160.5410000000011</v>
      </c>
      <c r="BO30" s="178">
        <v>8784.996000000001</v>
      </c>
      <c r="BP30" s="170">
        <v>9631.57</v>
      </c>
      <c r="BQ30" s="179">
        <v>4160.5679999999993</v>
      </c>
      <c r="BR30" s="180">
        <v>4090.2420000000002</v>
      </c>
      <c r="BS30" s="181">
        <v>8250.81</v>
      </c>
      <c r="BT30" s="170">
        <v>8813.9401468724027</v>
      </c>
      <c r="BU30" s="179">
        <v>3931.1349999999993</v>
      </c>
      <c r="BV30" s="180">
        <v>3788.4970000000003</v>
      </c>
      <c r="BW30" s="181">
        <v>7719.6319999999996</v>
      </c>
      <c r="BX30" s="170">
        <v>17095.260000000002</v>
      </c>
      <c r="BY30" s="176">
        <v>7540.3109999999997</v>
      </c>
      <c r="BZ30" s="177">
        <v>6942.3650000000016</v>
      </c>
      <c r="CA30" s="178">
        <v>14482.676000000001</v>
      </c>
      <c r="CB30" s="170">
        <v>17095.260000000002</v>
      </c>
      <c r="CC30" s="179">
        <v>6729.9260000000004</v>
      </c>
      <c r="CD30" s="180">
        <v>6492.2020000000002</v>
      </c>
      <c r="CE30" s="181">
        <v>13222.128000000001</v>
      </c>
      <c r="CF30" s="170">
        <v>16930.727999999999</v>
      </c>
      <c r="CG30" s="179"/>
      <c r="CH30" s="180"/>
      <c r="CI30" s="181">
        <v>0</v>
      </c>
      <c r="CJ30" s="170">
        <v>16571.105</v>
      </c>
      <c r="CK30" s="179">
        <v>6473.3540000000003</v>
      </c>
      <c r="CL30" s="180">
        <v>6474.491</v>
      </c>
      <c r="CM30" s="181">
        <v>12947.845000000001</v>
      </c>
      <c r="CN30" s="170">
        <v>15875.988547148365</v>
      </c>
      <c r="CO30" s="179">
        <v>6370.7830000000004</v>
      </c>
      <c r="CP30" s="180">
        <v>6467.6040000000003</v>
      </c>
      <c r="CQ30" s="181">
        <v>12838.387000000001</v>
      </c>
      <c r="CR30" s="170">
        <v>12887.486160466695</v>
      </c>
      <c r="CS30" s="179">
        <v>6299.0972000000002</v>
      </c>
      <c r="CT30" s="180">
        <v>6325.2310000000007</v>
      </c>
      <c r="CU30" s="181">
        <v>12624.3282</v>
      </c>
      <c r="CV30" s="170">
        <v>9756.3290000000015</v>
      </c>
      <c r="CW30" s="176">
        <v>4731.29</v>
      </c>
      <c r="CX30" s="177">
        <v>4161.8789999999999</v>
      </c>
      <c r="CY30" s="178">
        <v>8893.1689999999999</v>
      </c>
      <c r="CZ30" s="170">
        <v>8811.5260000000017</v>
      </c>
      <c r="DA30" s="179">
        <v>2009.14</v>
      </c>
      <c r="DB30" s="180">
        <v>1972.1579999999999</v>
      </c>
      <c r="DC30" s="181">
        <v>3981.2979999999998</v>
      </c>
      <c r="DD30" s="170">
        <v>7867.4690000000001</v>
      </c>
      <c r="DE30" s="179"/>
      <c r="DF30" s="180"/>
      <c r="DG30" s="181">
        <v>0</v>
      </c>
      <c r="DH30" s="170">
        <v>6986.335</v>
      </c>
      <c r="DI30" s="179">
        <v>1745.212</v>
      </c>
      <c r="DJ30" s="180">
        <v>1870.789</v>
      </c>
      <c r="DK30" s="181">
        <v>3616.0010000000002</v>
      </c>
      <c r="DL30" s="170">
        <v>6171.8419999999996</v>
      </c>
      <c r="DM30" s="179">
        <v>1854.3219999999999</v>
      </c>
      <c r="DN30" s="180">
        <v>1859.23</v>
      </c>
      <c r="DO30" s="181">
        <v>3713.5519999999997</v>
      </c>
      <c r="DP30" s="170">
        <v>3859.9758188167602</v>
      </c>
      <c r="DQ30" s="179">
        <v>2608.8459999999995</v>
      </c>
      <c r="DR30" s="180">
        <v>2368.924</v>
      </c>
      <c r="DS30" s="181">
        <v>4977.7699999999995</v>
      </c>
      <c r="DT30" s="170">
        <v>0</v>
      </c>
      <c r="DU30" s="176">
        <v>11127.007</v>
      </c>
      <c r="DV30" s="177">
        <v>11062.044</v>
      </c>
      <c r="DW30" s="217">
        <v>22189.050999999999</v>
      </c>
      <c r="DX30" s="170">
        <v>0</v>
      </c>
      <c r="DY30" s="179">
        <v>10868.12</v>
      </c>
      <c r="DZ30" s="180">
        <v>9934.2790000000005</v>
      </c>
      <c r="EA30" s="216">
        <v>20802.399000000001</v>
      </c>
      <c r="EB30" s="170">
        <v>23160.774000000001</v>
      </c>
      <c r="EC30" s="179"/>
      <c r="ED30" s="180"/>
      <c r="EE30" s="216">
        <v>0</v>
      </c>
      <c r="EF30" s="170">
        <v>23160.774000000001</v>
      </c>
      <c r="EG30" s="179">
        <v>9876.1280000000006</v>
      </c>
      <c r="EH30" s="180">
        <v>9700.3240000000005</v>
      </c>
      <c r="EI30" s="216">
        <v>19576.452000000001</v>
      </c>
      <c r="EJ30" s="221"/>
      <c r="EK30" s="179">
        <v>9555.44</v>
      </c>
      <c r="EL30" s="180">
        <v>9274.2950000000001</v>
      </c>
      <c r="EM30" s="216">
        <v>18829.735000000001</v>
      </c>
      <c r="EN30" s="170">
        <v>20288.567999999999</v>
      </c>
      <c r="EO30" s="179">
        <v>9563.476999999999</v>
      </c>
      <c r="EP30" s="180">
        <v>10285.135000000002</v>
      </c>
      <c r="EQ30" s="183">
        <v>19848.612000000001</v>
      </c>
      <c r="ER30" s="63"/>
    </row>
    <row r="31" spans="1:148" s="35" customFormat="1" ht="14.25" x14ac:dyDescent="0.2">
      <c r="A31" s="42" t="s">
        <v>115</v>
      </c>
      <c r="B31" s="46" t="s">
        <v>116</v>
      </c>
      <c r="C31" s="44" t="s">
        <v>87</v>
      </c>
      <c r="D31" s="210">
        <f t="shared" ref="D31:K31" si="25">D32+D33</f>
        <v>38104.989000000001</v>
      </c>
      <c r="E31" s="211">
        <f t="shared" si="25"/>
        <v>20044.806</v>
      </c>
      <c r="F31" s="212">
        <f t="shared" si="25"/>
        <v>14578.789000000001</v>
      </c>
      <c r="G31" s="187">
        <f t="shared" si="25"/>
        <v>34623.595000000001</v>
      </c>
      <c r="H31" s="210">
        <f t="shared" si="25"/>
        <v>38104.989000000001</v>
      </c>
      <c r="I31" s="213">
        <f t="shared" si="25"/>
        <v>11736.306999999999</v>
      </c>
      <c r="J31" s="214">
        <f t="shared" si="25"/>
        <v>10379.689</v>
      </c>
      <c r="K31" s="190">
        <f t="shared" si="25"/>
        <v>22115.995999999999</v>
      </c>
      <c r="L31" s="210">
        <v>41460.453000000001</v>
      </c>
      <c r="M31" s="213">
        <f t="shared" ref="M31:W31" si="26">M32+M33</f>
        <v>0</v>
      </c>
      <c r="N31" s="214">
        <f t="shared" si="26"/>
        <v>0</v>
      </c>
      <c r="O31" s="190">
        <f t="shared" si="26"/>
        <v>0</v>
      </c>
      <c r="P31" s="210">
        <f t="shared" si="26"/>
        <v>34543.756999999998</v>
      </c>
      <c r="Q31" s="213">
        <f t="shared" si="26"/>
        <v>14231.075999999999</v>
      </c>
      <c r="R31" s="214">
        <f t="shared" si="26"/>
        <v>14633.802000000001</v>
      </c>
      <c r="S31" s="190">
        <f t="shared" si="26"/>
        <v>28864.878000000001</v>
      </c>
      <c r="T31" s="210">
        <f t="shared" si="26"/>
        <v>27920.574000000001</v>
      </c>
      <c r="U31" s="213">
        <f t="shared" si="26"/>
        <v>15915.989</v>
      </c>
      <c r="V31" s="214">
        <f t="shared" si="26"/>
        <v>15045.237999999999</v>
      </c>
      <c r="W31" s="190">
        <f t="shared" si="26"/>
        <v>30961.226999999999</v>
      </c>
      <c r="X31" s="210">
        <v>32509.288</v>
      </c>
      <c r="Y31" s="213">
        <v>14678.098</v>
      </c>
      <c r="Z31" s="214">
        <v>12218.119000000001</v>
      </c>
      <c r="AA31" s="190">
        <v>26896.217000000001</v>
      </c>
      <c r="AB31" s="210">
        <v>3277</v>
      </c>
      <c r="AC31" s="211">
        <v>1224</v>
      </c>
      <c r="AD31" s="212">
        <v>932</v>
      </c>
      <c r="AE31" s="187">
        <v>2156</v>
      </c>
      <c r="AF31" s="210">
        <v>3277</v>
      </c>
      <c r="AG31" s="213">
        <v>1022</v>
      </c>
      <c r="AH31" s="214">
        <v>723</v>
      </c>
      <c r="AI31" s="190">
        <v>1745</v>
      </c>
      <c r="AJ31" s="210">
        <v>2888.6669999999999</v>
      </c>
      <c r="AK31" s="213">
        <v>0</v>
      </c>
      <c r="AL31" s="214">
        <v>0</v>
      </c>
      <c r="AM31" s="190">
        <v>0</v>
      </c>
      <c r="AN31" s="210">
        <v>2103.6669999999999</v>
      </c>
      <c r="AO31" s="213">
        <v>1156</v>
      </c>
      <c r="AP31" s="214">
        <v>862</v>
      </c>
      <c r="AQ31" s="190">
        <v>2018</v>
      </c>
      <c r="AR31" s="210">
        <v>1887</v>
      </c>
      <c r="AS31" s="213">
        <v>960</v>
      </c>
      <c r="AT31" s="214">
        <v>620</v>
      </c>
      <c r="AU31" s="190">
        <v>1580</v>
      </c>
      <c r="AV31" s="210">
        <v>1786</v>
      </c>
      <c r="AW31" s="213">
        <v>578.79999999999995</v>
      </c>
      <c r="AX31" s="214">
        <v>556.79999999999995</v>
      </c>
      <c r="AY31" s="190">
        <v>1135.5999999999999</v>
      </c>
      <c r="AZ31" s="210">
        <v>961.33299999999997</v>
      </c>
      <c r="BA31" s="211">
        <v>497</v>
      </c>
      <c r="BB31" s="212">
        <v>300</v>
      </c>
      <c r="BC31" s="191">
        <v>797</v>
      </c>
      <c r="BD31" s="210">
        <v>961.33299999999997</v>
      </c>
      <c r="BE31" s="213">
        <v>218</v>
      </c>
      <c r="BF31" s="214">
        <v>322.029</v>
      </c>
      <c r="BG31" s="192">
        <v>540.029</v>
      </c>
      <c r="BH31" s="210">
        <v>904.66700000000003</v>
      </c>
      <c r="BI31" s="213">
        <v>0</v>
      </c>
      <c r="BJ31" s="214">
        <v>0</v>
      </c>
      <c r="BK31" s="190">
        <v>0</v>
      </c>
      <c r="BL31" s="210">
        <v>766.01</v>
      </c>
      <c r="BM31" s="211">
        <v>317.185</v>
      </c>
      <c r="BN31" s="212">
        <v>271.52900000000005</v>
      </c>
      <c r="BO31" s="187">
        <v>588.71400000000006</v>
      </c>
      <c r="BP31" s="210">
        <v>623.505</v>
      </c>
      <c r="BQ31" s="213">
        <v>476.21499999999997</v>
      </c>
      <c r="BR31" s="214">
        <v>309.60599999999999</v>
      </c>
      <c r="BS31" s="190">
        <v>785.82099999999991</v>
      </c>
      <c r="BT31" s="210">
        <v>636.00699999999995</v>
      </c>
      <c r="BU31" s="213">
        <v>203.99599999999998</v>
      </c>
      <c r="BV31" s="214">
        <v>533.83600000000001</v>
      </c>
      <c r="BW31" s="192">
        <v>737.83199999999999</v>
      </c>
      <c r="BX31" s="210">
        <v>3171</v>
      </c>
      <c r="BY31" s="211">
        <v>1199</v>
      </c>
      <c r="BZ31" s="212">
        <v>660</v>
      </c>
      <c r="CA31" s="187">
        <v>1859</v>
      </c>
      <c r="CB31" s="210">
        <v>3171</v>
      </c>
      <c r="CC31" s="213">
        <v>466</v>
      </c>
      <c r="CD31" s="214">
        <v>768</v>
      </c>
      <c r="CE31" s="190">
        <v>1234</v>
      </c>
      <c r="CF31" s="210">
        <v>2243.6669999999999</v>
      </c>
      <c r="CG31" s="213">
        <v>0</v>
      </c>
      <c r="CH31" s="214">
        <v>0</v>
      </c>
      <c r="CI31" s="190">
        <v>0</v>
      </c>
      <c r="CJ31" s="210">
        <v>1872</v>
      </c>
      <c r="CK31" s="213">
        <v>499</v>
      </c>
      <c r="CL31" s="214">
        <v>637</v>
      </c>
      <c r="CM31" s="190">
        <v>1136</v>
      </c>
      <c r="CN31" s="210">
        <v>1410.3330000000001</v>
      </c>
      <c r="CO31" s="213">
        <v>698</v>
      </c>
      <c r="CP31" s="214">
        <v>594</v>
      </c>
      <c r="CQ31" s="190">
        <v>1292</v>
      </c>
      <c r="CR31" s="210">
        <v>1188.6669999999999</v>
      </c>
      <c r="CS31" s="213">
        <v>606</v>
      </c>
      <c r="CT31" s="214">
        <v>403</v>
      </c>
      <c r="CU31" s="190">
        <v>1009</v>
      </c>
      <c r="CV31" s="210">
        <v>3028.3330000000001</v>
      </c>
      <c r="CW31" s="211">
        <v>1875</v>
      </c>
      <c r="CX31" s="212">
        <v>2428</v>
      </c>
      <c r="CY31" s="187">
        <v>4303</v>
      </c>
      <c r="CZ31" s="210">
        <v>3308</v>
      </c>
      <c r="DA31" s="213">
        <v>2328</v>
      </c>
      <c r="DB31" s="214">
        <v>2484</v>
      </c>
      <c r="DC31" s="190">
        <v>4812</v>
      </c>
      <c r="DD31" s="210">
        <v>3805</v>
      </c>
      <c r="DE31" s="213">
        <v>0</v>
      </c>
      <c r="DF31" s="214">
        <v>0</v>
      </c>
      <c r="DG31" s="190">
        <v>0</v>
      </c>
      <c r="DH31" s="210">
        <v>4280</v>
      </c>
      <c r="DI31" s="213">
        <v>2862</v>
      </c>
      <c r="DJ31" s="214">
        <v>2472</v>
      </c>
      <c r="DK31" s="190">
        <v>5334</v>
      </c>
      <c r="DL31" s="210">
        <v>4946.3329999999996</v>
      </c>
      <c r="DM31" s="213">
        <v>2849</v>
      </c>
      <c r="DN31" s="214">
        <v>1665.0440000000001</v>
      </c>
      <c r="DO31" s="190">
        <v>4514.0439999999999</v>
      </c>
      <c r="DP31" s="210">
        <v>5190.6809999999996</v>
      </c>
      <c r="DQ31" s="213">
        <v>1059</v>
      </c>
      <c r="DR31" s="214">
        <v>1437</v>
      </c>
      <c r="DS31" s="190">
        <v>2496</v>
      </c>
      <c r="DT31" s="210">
        <v>1104.9959999999999</v>
      </c>
      <c r="DU31" s="211">
        <v>539</v>
      </c>
      <c r="DV31" s="212">
        <v>518</v>
      </c>
      <c r="DW31" s="191">
        <v>1057</v>
      </c>
      <c r="DX31" s="210">
        <v>1104.9959999999999</v>
      </c>
      <c r="DY31" s="213">
        <v>395</v>
      </c>
      <c r="DZ31" s="214">
        <v>652</v>
      </c>
      <c r="EA31" s="190">
        <v>1047</v>
      </c>
      <c r="EB31" s="210">
        <v>1106.6669999999999</v>
      </c>
      <c r="EC31" s="213">
        <v>0</v>
      </c>
      <c r="ED31" s="214">
        <v>0</v>
      </c>
      <c r="EE31" s="190">
        <v>0</v>
      </c>
      <c r="EF31" s="210">
        <v>1106.6669999999999</v>
      </c>
      <c r="EG31" s="213">
        <v>591</v>
      </c>
      <c r="EH31" s="214">
        <v>691</v>
      </c>
      <c r="EI31" s="190">
        <v>1282</v>
      </c>
      <c r="EJ31" s="210">
        <v>1092.8</v>
      </c>
      <c r="EK31" s="213">
        <v>593</v>
      </c>
      <c r="EL31" s="214">
        <v>551</v>
      </c>
      <c r="EM31" s="190">
        <v>1144</v>
      </c>
      <c r="EN31" s="210">
        <v>1200.133</v>
      </c>
      <c r="EO31" s="213">
        <v>858.2</v>
      </c>
      <c r="EP31" s="214">
        <v>845.2</v>
      </c>
      <c r="EQ31" s="192">
        <v>1703.4</v>
      </c>
      <c r="ER31" s="64"/>
    </row>
    <row r="32" spans="1:148" s="20" customFormat="1" ht="15" x14ac:dyDescent="0.2">
      <c r="A32" s="36"/>
      <c r="B32" s="47" t="s">
        <v>111</v>
      </c>
      <c r="C32" s="38" t="s">
        <v>87</v>
      </c>
      <c r="D32" s="199">
        <v>36340.728000000003</v>
      </c>
      <c r="E32" s="200">
        <f>18676.146+401.66</f>
        <v>19077.806</v>
      </c>
      <c r="F32" s="201">
        <f>11868.447+464.342</f>
        <v>12332.789000000001</v>
      </c>
      <c r="G32" s="222">
        <f>E32+F32</f>
        <v>31410.595000000001</v>
      </c>
      <c r="H32" s="170">
        <f>D32</f>
        <v>36340.728000000003</v>
      </c>
      <c r="I32" s="202">
        <v>10892.306999999999</v>
      </c>
      <c r="J32" s="203">
        <v>9533.6890000000003</v>
      </c>
      <c r="K32" s="223">
        <f>I32+J32</f>
        <v>20425.995999999999</v>
      </c>
      <c r="L32" s="170">
        <v>39540.834000000003</v>
      </c>
      <c r="M32" s="202"/>
      <c r="N32" s="203"/>
      <c r="O32" s="223">
        <f>M32+N32</f>
        <v>0</v>
      </c>
      <c r="P32" s="170">
        <v>32944.381000000001</v>
      </c>
      <c r="Q32" s="202">
        <f>[1]Билиб!E28-Q33</f>
        <v>13468.075999999999</v>
      </c>
      <c r="R32" s="203">
        <f>[1]Билиб!F28-R33</f>
        <v>14122.802000000001</v>
      </c>
      <c r="S32" s="223">
        <f>Q32+R32</f>
        <v>27590.878000000001</v>
      </c>
      <c r="T32" s="170">
        <v>26627.851382659221</v>
      </c>
      <c r="U32" s="202">
        <f>15915.989-U33</f>
        <v>15628.989</v>
      </c>
      <c r="V32" s="203">
        <f>15045.238-V33</f>
        <v>14654.237999999999</v>
      </c>
      <c r="W32" s="223">
        <f>U32+V32</f>
        <v>30283.226999999999</v>
      </c>
      <c r="X32" s="170">
        <v>31797.388007664424</v>
      </c>
      <c r="Y32" s="202">
        <v>14494.098</v>
      </c>
      <c r="Z32" s="203">
        <v>12037.119000000001</v>
      </c>
      <c r="AA32" s="181">
        <v>26531.217000000001</v>
      </c>
      <c r="AB32" s="199">
        <v>2526.239</v>
      </c>
      <c r="AC32" s="200">
        <v>1073</v>
      </c>
      <c r="AD32" s="201">
        <v>781</v>
      </c>
      <c r="AE32" s="222">
        <v>1854</v>
      </c>
      <c r="AF32" s="170">
        <v>2526.239</v>
      </c>
      <c r="AG32" s="202">
        <v>869</v>
      </c>
      <c r="AH32" s="203">
        <v>669</v>
      </c>
      <c r="AI32" s="223">
        <v>1538</v>
      </c>
      <c r="AJ32" s="170">
        <v>2526.239</v>
      </c>
      <c r="AK32" s="202"/>
      <c r="AL32" s="203"/>
      <c r="AM32" s="223">
        <v>0</v>
      </c>
      <c r="AN32" s="170">
        <v>1621.7170000000001</v>
      </c>
      <c r="AO32" s="202">
        <v>1121</v>
      </c>
      <c r="AP32" s="203">
        <v>826</v>
      </c>
      <c r="AQ32" s="223">
        <v>1947</v>
      </c>
      <c r="AR32" s="170">
        <v>1454.688398401458</v>
      </c>
      <c r="AS32" s="202">
        <v>919</v>
      </c>
      <c r="AT32" s="203">
        <v>578</v>
      </c>
      <c r="AU32" s="223">
        <v>1497</v>
      </c>
      <c r="AV32" s="170">
        <v>1692.1784810126583</v>
      </c>
      <c r="AW32" s="202">
        <v>542</v>
      </c>
      <c r="AX32" s="203">
        <v>520</v>
      </c>
      <c r="AY32" s="173">
        <v>1062</v>
      </c>
      <c r="AZ32" s="170">
        <v>17.189</v>
      </c>
      <c r="BA32" s="200">
        <v>26</v>
      </c>
      <c r="BB32" s="201">
        <v>158</v>
      </c>
      <c r="BC32" s="224">
        <v>184</v>
      </c>
      <c r="BD32" s="170">
        <v>17.189</v>
      </c>
      <c r="BE32" s="202">
        <v>200</v>
      </c>
      <c r="BF32" s="203">
        <v>314.029</v>
      </c>
      <c r="BG32" s="225">
        <v>514.029</v>
      </c>
      <c r="BH32" s="170">
        <v>16.175790348401648</v>
      </c>
      <c r="BI32" s="202"/>
      <c r="BJ32" s="203"/>
      <c r="BK32" s="223">
        <v>0</v>
      </c>
      <c r="BL32" s="170">
        <v>13.696999999999999</v>
      </c>
      <c r="BM32" s="200">
        <v>306.185</v>
      </c>
      <c r="BN32" s="201">
        <v>263.52900000000005</v>
      </c>
      <c r="BO32" s="222">
        <v>569.71400000000006</v>
      </c>
      <c r="BP32" s="170">
        <v>11.148872710539028</v>
      </c>
      <c r="BQ32" s="202">
        <v>465.21499999999997</v>
      </c>
      <c r="BR32" s="203">
        <v>301.60599999999999</v>
      </c>
      <c r="BS32" s="223">
        <v>766.82099999999991</v>
      </c>
      <c r="BT32" s="170">
        <v>620.62928293720825</v>
      </c>
      <c r="BU32" s="179">
        <v>192.99599999999998</v>
      </c>
      <c r="BV32" s="180">
        <v>525.83600000000001</v>
      </c>
      <c r="BW32" s="181">
        <v>718.83199999999999</v>
      </c>
      <c r="BX32" s="170">
        <v>3145.3150000000001</v>
      </c>
      <c r="BY32" s="200">
        <v>1188</v>
      </c>
      <c r="BZ32" s="201">
        <v>652</v>
      </c>
      <c r="CA32" s="222">
        <v>1840</v>
      </c>
      <c r="CB32" s="170">
        <v>3145.3150000000001</v>
      </c>
      <c r="CC32" s="202">
        <v>455</v>
      </c>
      <c r="CD32" s="203">
        <v>760</v>
      </c>
      <c r="CE32" s="223">
        <v>1215</v>
      </c>
      <c r="CF32" s="170">
        <v>2225.4929999999999</v>
      </c>
      <c r="CG32" s="202"/>
      <c r="CH32" s="203"/>
      <c r="CI32" s="223">
        <v>0</v>
      </c>
      <c r="CJ32" s="170">
        <v>1856.837</v>
      </c>
      <c r="CK32" s="202">
        <v>488</v>
      </c>
      <c r="CL32" s="203">
        <v>629</v>
      </c>
      <c r="CM32" s="223">
        <v>1117</v>
      </c>
      <c r="CN32" s="170">
        <v>1398.9094533766026</v>
      </c>
      <c r="CO32" s="202">
        <v>687</v>
      </c>
      <c r="CP32" s="203">
        <v>586</v>
      </c>
      <c r="CQ32" s="223">
        <v>1273</v>
      </c>
      <c r="CR32" s="170">
        <v>1171.1866029411765</v>
      </c>
      <c r="CS32" s="202">
        <v>595</v>
      </c>
      <c r="CT32" s="203">
        <v>395</v>
      </c>
      <c r="CU32" s="181">
        <v>990</v>
      </c>
      <c r="CV32" s="170">
        <v>21.198</v>
      </c>
      <c r="CW32" s="200">
        <v>1861</v>
      </c>
      <c r="CX32" s="201">
        <v>2414</v>
      </c>
      <c r="CY32" s="222">
        <v>4275</v>
      </c>
      <c r="CZ32" s="170">
        <v>3282.6669999999999</v>
      </c>
      <c r="DA32" s="202">
        <v>2314</v>
      </c>
      <c r="DB32" s="203">
        <v>2470</v>
      </c>
      <c r="DC32" s="223">
        <v>4784</v>
      </c>
      <c r="DD32" s="170">
        <v>3775.8609999999999</v>
      </c>
      <c r="DE32" s="202"/>
      <c r="DF32" s="203"/>
      <c r="DG32" s="223">
        <v>0</v>
      </c>
      <c r="DH32" s="170">
        <v>4247.223</v>
      </c>
      <c r="DI32" s="202">
        <v>2848</v>
      </c>
      <c r="DJ32" s="203">
        <v>2458</v>
      </c>
      <c r="DK32" s="223">
        <v>5306</v>
      </c>
      <c r="DL32" s="170">
        <v>4908.4530000000004</v>
      </c>
      <c r="DM32" s="202">
        <v>2849</v>
      </c>
      <c r="DN32" s="203">
        <v>1663</v>
      </c>
      <c r="DO32" s="223">
        <v>4512</v>
      </c>
      <c r="DP32" s="170">
        <v>5188.3306126391326</v>
      </c>
      <c r="DQ32" s="202">
        <v>1059</v>
      </c>
      <c r="DR32" s="203">
        <v>1437</v>
      </c>
      <c r="DS32" s="181">
        <v>2496</v>
      </c>
      <c r="DT32" s="170">
        <v>977.26199999999994</v>
      </c>
      <c r="DU32" s="200">
        <v>478</v>
      </c>
      <c r="DV32" s="201">
        <v>498</v>
      </c>
      <c r="DW32" s="224">
        <v>976</v>
      </c>
      <c r="DX32" s="170">
        <v>977.26199999999994</v>
      </c>
      <c r="DY32" s="202">
        <v>376</v>
      </c>
      <c r="DZ32" s="203">
        <v>639</v>
      </c>
      <c r="EA32" s="223">
        <v>1015</v>
      </c>
      <c r="EB32" s="170">
        <v>978.73983774963892</v>
      </c>
      <c r="EC32" s="202"/>
      <c r="ED32" s="203"/>
      <c r="EE32" s="223">
        <v>0</v>
      </c>
      <c r="EF32" s="170">
        <v>978.73983774963892</v>
      </c>
      <c r="EG32" s="202">
        <v>574</v>
      </c>
      <c r="EH32" s="203">
        <v>675</v>
      </c>
      <c r="EI32" s="223">
        <v>1249</v>
      </c>
      <c r="EJ32" s="170">
        <v>966.47199999999998</v>
      </c>
      <c r="EK32" s="202">
        <v>576</v>
      </c>
      <c r="EL32" s="203">
        <v>535</v>
      </c>
      <c r="EM32" s="223">
        <v>1111</v>
      </c>
      <c r="EN32" s="170"/>
      <c r="EO32" s="202">
        <v>841</v>
      </c>
      <c r="EP32" s="203">
        <v>378</v>
      </c>
      <c r="EQ32" s="183">
        <v>1219</v>
      </c>
      <c r="ER32" s="63"/>
    </row>
    <row r="33" spans="1:148" s="20" customFormat="1" ht="15" x14ac:dyDescent="0.2">
      <c r="A33" s="27"/>
      <c r="B33" s="48" t="s">
        <v>117</v>
      </c>
      <c r="C33" s="29" t="s">
        <v>87</v>
      </c>
      <c r="D33" s="170">
        <v>1764.2610000000022</v>
      </c>
      <c r="E33" s="176">
        <v>967</v>
      </c>
      <c r="F33" s="177">
        <v>2246</v>
      </c>
      <c r="G33" s="178">
        <f>E33+F33</f>
        <v>3213</v>
      </c>
      <c r="H33" s="170">
        <f>D33</f>
        <v>1764.2610000000022</v>
      </c>
      <c r="I33" s="179">
        <v>844</v>
      </c>
      <c r="J33" s="180">
        <v>846</v>
      </c>
      <c r="K33" s="181">
        <f>I33+J33</f>
        <v>1690</v>
      </c>
      <c r="L33" s="170">
        <v>1919.6189999999988</v>
      </c>
      <c r="M33" s="179"/>
      <c r="N33" s="180"/>
      <c r="O33" s="181">
        <f>M33+N33</f>
        <v>0</v>
      </c>
      <c r="P33" s="170">
        <v>1599.3759999999966</v>
      </c>
      <c r="Q33" s="179">
        <v>763</v>
      </c>
      <c r="R33" s="180">
        <v>511</v>
      </c>
      <c r="S33" s="181">
        <f>Q33+R33</f>
        <v>1274</v>
      </c>
      <c r="T33" s="170">
        <v>1292.7226173407798</v>
      </c>
      <c r="U33" s="179">
        <v>287</v>
      </c>
      <c r="V33" s="180">
        <v>391</v>
      </c>
      <c r="W33" s="181">
        <f>U33+V33</f>
        <v>678</v>
      </c>
      <c r="X33" s="170">
        <v>711.89999233557512</v>
      </c>
      <c r="Y33" s="179">
        <v>184</v>
      </c>
      <c r="Z33" s="180">
        <v>181</v>
      </c>
      <c r="AA33" s="181">
        <v>365</v>
      </c>
      <c r="AB33" s="170">
        <v>750.76099999999997</v>
      </c>
      <c r="AC33" s="176">
        <v>151</v>
      </c>
      <c r="AD33" s="177">
        <v>151</v>
      </c>
      <c r="AE33" s="178">
        <v>302</v>
      </c>
      <c r="AF33" s="170">
        <v>750.76099999999997</v>
      </c>
      <c r="AG33" s="179">
        <v>153</v>
      </c>
      <c r="AH33" s="180">
        <v>54</v>
      </c>
      <c r="AI33" s="181">
        <v>207</v>
      </c>
      <c r="AJ33" s="170">
        <v>750.76099999999997</v>
      </c>
      <c r="AK33" s="179"/>
      <c r="AL33" s="180"/>
      <c r="AM33" s="181">
        <v>0</v>
      </c>
      <c r="AN33" s="170">
        <v>481.95</v>
      </c>
      <c r="AO33" s="179">
        <v>35</v>
      </c>
      <c r="AP33" s="180">
        <v>36</v>
      </c>
      <c r="AQ33" s="181">
        <v>71</v>
      </c>
      <c r="AR33" s="170">
        <v>432.31160159854198</v>
      </c>
      <c r="AS33" s="179">
        <v>41</v>
      </c>
      <c r="AT33" s="180">
        <v>42</v>
      </c>
      <c r="AU33" s="181">
        <v>83</v>
      </c>
      <c r="AV33" s="170">
        <v>93.821518987341776</v>
      </c>
      <c r="AW33" s="179">
        <v>36.799999999999997</v>
      </c>
      <c r="AX33" s="180">
        <v>36.799999999999997</v>
      </c>
      <c r="AY33" s="173">
        <v>73.599999999999994</v>
      </c>
      <c r="AZ33" s="170">
        <v>944.14400000000001</v>
      </c>
      <c r="BA33" s="176">
        <v>471</v>
      </c>
      <c r="BB33" s="177">
        <v>142</v>
      </c>
      <c r="BC33" s="182">
        <v>613</v>
      </c>
      <c r="BD33" s="170">
        <v>944.14400000000001</v>
      </c>
      <c r="BE33" s="179">
        <v>18</v>
      </c>
      <c r="BF33" s="180">
        <v>8</v>
      </c>
      <c r="BG33" s="183">
        <v>26</v>
      </c>
      <c r="BH33" s="170">
        <v>888.49120965159841</v>
      </c>
      <c r="BI33" s="179"/>
      <c r="BJ33" s="180"/>
      <c r="BK33" s="181">
        <v>0</v>
      </c>
      <c r="BL33" s="170">
        <v>752.31299999999999</v>
      </c>
      <c r="BM33" s="176">
        <v>11</v>
      </c>
      <c r="BN33" s="177">
        <v>8</v>
      </c>
      <c r="BO33" s="178">
        <v>19</v>
      </c>
      <c r="BP33" s="170">
        <v>612.35612728946091</v>
      </c>
      <c r="BQ33" s="179">
        <v>11</v>
      </c>
      <c r="BR33" s="180">
        <v>8</v>
      </c>
      <c r="BS33" s="181">
        <v>19</v>
      </c>
      <c r="BT33" s="170">
        <v>15.377717062791653</v>
      </c>
      <c r="BU33" s="179">
        <v>11</v>
      </c>
      <c r="BV33" s="180">
        <v>8</v>
      </c>
      <c r="BW33" s="181">
        <v>19</v>
      </c>
      <c r="BX33" s="170">
        <v>25.684999999999945</v>
      </c>
      <c r="BY33" s="176">
        <v>11</v>
      </c>
      <c r="BZ33" s="177">
        <v>8</v>
      </c>
      <c r="CA33" s="178">
        <v>19</v>
      </c>
      <c r="CB33" s="170">
        <v>25.684999999999945</v>
      </c>
      <c r="CC33" s="179">
        <v>11</v>
      </c>
      <c r="CD33" s="180">
        <v>8</v>
      </c>
      <c r="CE33" s="181">
        <v>19</v>
      </c>
      <c r="CF33" s="170">
        <v>18.173999999999999</v>
      </c>
      <c r="CG33" s="179"/>
      <c r="CH33" s="180"/>
      <c r="CI33" s="181">
        <v>0</v>
      </c>
      <c r="CJ33" s="170">
        <v>15.163</v>
      </c>
      <c r="CK33" s="179">
        <v>11</v>
      </c>
      <c r="CL33" s="180">
        <v>8</v>
      </c>
      <c r="CM33" s="181">
        <v>19</v>
      </c>
      <c r="CN33" s="170">
        <v>11.423546623397442</v>
      </c>
      <c r="CO33" s="179">
        <v>11</v>
      </c>
      <c r="CP33" s="180">
        <v>8</v>
      </c>
      <c r="CQ33" s="181">
        <v>19</v>
      </c>
      <c r="CR33" s="170">
        <v>17.480397058823428</v>
      </c>
      <c r="CS33" s="179">
        <v>11</v>
      </c>
      <c r="CT33" s="180">
        <v>8</v>
      </c>
      <c r="CU33" s="181">
        <v>19</v>
      </c>
      <c r="CV33" s="170">
        <v>3007.1350000000002</v>
      </c>
      <c r="CW33" s="176">
        <v>14</v>
      </c>
      <c r="CX33" s="177">
        <v>14</v>
      </c>
      <c r="CY33" s="178">
        <v>28</v>
      </c>
      <c r="CZ33" s="170">
        <v>25.332999999999998</v>
      </c>
      <c r="DA33" s="179">
        <v>14</v>
      </c>
      <c r="DB33" s="180">
        <v>14</v>
      </c>
      <c r="DC33" s="181">
        <v>28</v>
      </c>
      <c r="DD33" s="170">
        <v>29.138999999999999</v>
      </c>
      <c r="DE33" s="179"/>
      <c r="DF33" s="180"/>
      <c r="DG33" s="181">
        <v>0</v>
      </c>
      <c r="DH33" s="170">
        <v>32.777000000000001</v>
      </c>
      <c r="DI33" s="179">
        <v>14</v>
      </c>
      <c r="DJ33" s="180">
        <v>14</v>
      </c>
      <c r="DK33" s="181">
        <v>28</v>
      </c>
      <c r="DL33" s="170">
        <v>37.8799999999992</v>
      </c>
      <c r="DM33" s="179">
        <v>0</v>
      </c>
      <c r="DN33" s="180">
        <v>2.044</v>
      </c>
      <c r="DO33" s="181">
        <v>2.044</v>
      </c>
      <c r="DP33" s="170">
        <v>2.3503873608669892</v>
      </c>
      <c r="DQ33" s="179">
        <v>0</v>
      </c>
      <c r="DR33" s="180">
        <v>0</v>
      </c>
      <c r="DS33" s="181">
        <v>0</v>
      </c>
      <c r="DT33" s="170">
        <v>127.73400000000001</v>
      </c>
      <c r="DU33" s="176">
        <v>61</v>
      </c>
      <c r="DV33" s="177">
        <v>20</v>
      </c>
      <c r="DW33" s="182">
        <v>81</v>
      </c>
      <c r="DX33" s="170">
        <v>127.73400000000001</v>
      </c>
      <c r="DY33" s="179">
        <v>19</v>
      </c>
      <c r="DZ33" s="180">
        <v>13</v>
      </c>
      <c r="EA33" s="181">
        <v>32</v>
      </c>
      <c r="EB33" s="170">
        <v>127.92716225036111</v>
      </c>
      <c r="EC33" s="179"/>
      <c r="ED33" s="180"/>
      <c r="EE33" s="181">
        <v>0</v>
      </c>
      <c r="EF33" s="170">
        <v>127.92716225036111</v>
      </c>
      <c r="EG33" s="179">
        <v>17</v>
      </c>
      <c r="EH33" s="180">
        <v>16</v>
      </c>
      <c r="EI33" s="181">
        <v>33</v>
      </c>
      <c r="EJ33" s="170">
        <v>126.32799999999997</v>
      </c>
      <c r="EK33" s="179">
        <v>17</v>
      </c>
      <c r="EL33" s="180">
        <v>16</v>
      </c>
      <c r="EM33" s="181">
        <v>33</v>
      </c>
      <c r="EN33" s="170">
        <v>1200.133</v>
      </c>
      <c r="EO33" s="179">
        <v>17.2</v>
      </c>
      <c r="EP33" s="180">
        <v>467.2</v>
      </c>
      <c r="EQ33" s="183">
        <v>484.4</v>
      </c>
      <c r="ER33" s="63"/>
    </row>
    <row r="34" spans="1:148" s="35" customFormat="1" ht="14.25" x14ac:dyDescent="0.2">
      <c r="A34" s="49" t="s">
        <v>118</v>
      </c>
      <c r="B34" s="50" t="s">
        <v>0</v>
      </c>
      <c r="C34" s="40" t="s">
        <v>87</v>
      </c>
      <c r="D34" s="204">
        <f t="shared" ref="D34:K34" si="27">D35+D36</f>
        <v>37812.278000000006</v>
      </c>
      <c r="E34" s="205">
        <f t="shared" si="27"/>
        <v>14621.209000000001</v>
      </c>
      <c r="F34" s="206">
        <f t="shared" si="27"/>
        <v>15266.434999999999</v>
      </c>
      <c r="G34" s="226">
        <f t="shared" si="27"/>
        <v>29887.644</v>
      </c>
      <c r="H34" s="204">
        <f t="shared" si="27"/>
        <v>37812.278000000006</v>
      </c>
      <c r="I34" s="207">
        <f t="shared" si="27"/>
        <v>17278.376</v>
      </c>
      <c r="J34" s="208">
        <f>J35+J36</f>
        <v>20474.909</v>
      </c>
      <c r="K34" s="227">
        <f t="shared" si="27"/>
        <v>37753.285000000003</v>
      </c>
      <c r="L34" s="204">
        <v>31952.978999999999</v>
      </c>
      <c r="M34" s="207">
        <f t="shared" ref="M34:W34" si="28">M35+M36</f>
        <v>0</v>
      </c>
      <c r="N34" s="208">
        <f t="shared" si="28"/>
        <v>0</v>
      </c>
      <c r="O34" s="227">
        <f t="shared" si="28"/>
        <v>0</v>
      </c>
      <c r="P34" s="204">
        <f t="shared" si="28"/>
        <v>33045.499000000003</v>
      </c>
      <c r="Q34" s="207">
        <f t="shared" si="28"/>
        <v>23904.913</v>
      </c>
      <c r="R34" s="208">
        <f t="shared" si="28"/>
        <v>38625.608999999997</v>
      </c>
      <c r="S34" s="227">
        <f t="shared" si="28"/>
        <v>62530.521999999997</v>
      </c>
      <c r="T34" s="204">
        <f t="shared" si="28"/>
        <v>39262.004000000001</v>
      </c>
      <c r="U34" s="207">
        <f t="shared" si="28"/>
        <v>35339.428999999996</v>
      </c>
      <c r="V34" s="208">
        <f t="shared" si="28"/>
        <v>42541.544000000002</v>
      </c>
      <c r="W34" s="227">
        <f t="shared" si="28"/>
        <v>77880.972999999998</v>
      </c>
      <c r="X34" s="204">
        <v>81775.021999999997</v>
      </c>
      <c r="Y34" s="207">
        <v>43919.686999999998</v>
      </c>
      <c r="Z34" s="208">
        <v>44688.561999999998</v>
      </c>
      <c r="AA34" s="227">
        <v>88608.248999999996</v>
      </c>
      <c r="AB34" s="204">
        <v>333.33299999999997</v>
      </c>
      <c r="AC34" s="205">
        <v>164</v>
      </c>
      <c r="AD34" s="206">
        <v>162</v>
      </c>
      <c r="AE34" s="226">
        <v>326</v>
      </c>
      <c r="AF34" s="204">
        <v>333.33299999999997</v>
      </c>
      <c r="AG34" s="207">
        <v>164</v>
      </c>
      <c r="AH34" s="208">
        <v>162</v>
      </c>
      <c r="AI34" s="227">
        <v>326</v>
      </c>
      <c r="AJ34" s="204">
        <v>326</v>
      </c>
      <c r="AK34" s="207">
        <v>0</v>
      </c>
      <c r="AL34" s="208">
        <v>0</v>
      </c>
      <c r="AM34" s="227">
        <v>0</v>
      </c>
      <c r="AN34" s="204">
        <v>326</v>
      </c>
      <c r="AO34" s="207">
        <v>130</v>
      </c>
      <c r="AP34" s="208">
        <v>125</v>
      </c>
      <c r="AQ34" s="227">
        <v>255</v>
      </c>
      <c r="AR34" s="204">
        <v>326</v>
      </c>
      <c r="AS34" s="207">
        <v>127</v>
      </c>
      <c r="AT34" s="208">
        <v>153</v>
      </c>
      <c r="AU34" s="227">
        <v>280</v>
      </c>
      <c r="AV34" s="204">
        <v>287</v>
      </c>
      <c r="AW34" s="207">
        <v>249</v>
      </c>
      <c r="AX34" s="208">
        <v>122</v>
      </c>
      <c r="AY34" s="227">
        <v>371</v>
      </c>
      <c r="AZ34" s="204">
        <v>83.667000000000002</v>
      </c>
      <c r="BA34" s="205">
        <v>40</v>
      </c>
      <c r="BB34" s="206">
        <v>38</v>
      </c>
      <c r="BC34" s="228">
        <v>78</v>
      </c>
      <c r="BD34" s="204">
        <v>83.667000000000002</v>
      </c>
      <c r="BE34" s="207">
        <v>41</v>
      </c>
      <c r="BF34" s="208">
        <v>42.8</v>
      </c>
      <c r="BG34" s="229">
        <v>83.8</v>
      </c>
      <c r="BH34" s="204">
        <v>106.333</v>
      </c>
      <c r="BI34" s="207">
        <v>0</v>
      </c>
      <c r="BJ34" s="208">
        <v>0</v>
      </c>
      <c r="BK34" s="227">
        <v>0</v>
      </c>
      <c r="BL34" s="204">
        <v>105.93300000000001</v>
      </c>
      <c r="BM34" s="205">
        <v>42.981000000000002</v>
      </c>
      <c r="BN34" s="206">
        <v>39.074000000000005</v>
      </c>
      <c r="BO34" s="226">
        <v>82.055000000000007</v>
      </c>
      <c r="BP34" s="204">
        <v>80.231999999999999</v>
      </c>
      <c r="BQ34" s="207">
        <v>38.881</v>
      </c>
      <c r="BR34" s="208">
        <v>34.427999999999997</v>
      </c>
      <c r="BS34" s="227">
        <v>73.308999999999997</v>
      </c>
      <c r="BT34" s="204">
        <v>78.087000000000003</v>
      </c>
      <c r="BU34" s="207">
        <v>11.404</v>
      </c>
      <c r="BV34" s="208">
        <v>14.99</v>
      </c>
      <c r="BW34" s="229">
        <v>26.393999999999998</v>
      </c>
      <c r="BX34" s="204">
        <v>794.30199999999991</v>
      </c>
      <c r="BY34" s="205">
        <v>582.5</v>
      </c>
      <c r="BZ34" s="206">
        <v>403</v>
      </c>
      <c r="CA34" s="226">
        <v>985.5</v>
      </c>
      <c r="CB34" s="204">
        <v>794.30199999999991</v>
      </c>
      <c r="CC34" s="207">
        <v>380</v>
      </c>
      <c r="CD34" s="208">
        <v>399.5</v>
      </c>
      <c r="CE34" s="227">
        <v>779.5</v>
      </c>
      <c r="CF34" s="204">
        <v>1248.9330000000002</v>
      </c>
      <c r="CG34" s="207">
        <v>0</v>
      </c>
      <c r="CH34" s="208">
        <v>0</v>
      </c>
      <c r="CI34" s="227">
        <v>0</v>
      </c>
      <c r="CJ34" s="204">
        <v>1214.3520000000001</v>
      </c>
      <c r="CK34" s="207">
        <v>354.5</v>
      </c>
      <c r="CL34" s="208">
        <v>405</v>
      </c>
      <c r="CM34" s="227">
        <v>759.5</v>
      </c>
      <c r="CN34" s="204">
        <v>832.66700000000003</v>
      </c>
      <c r="CO34" s="207">
        <v>339</v>
      </c>
      <c r="CP34" s="208">
        <v>358</v>
      </c>
      <c r="CQ34" s="227">
        <v>697</v>
      </c>
      <c r="CR34" s="204">
        <v>729.83299999999997</v>
      </c>
      <c r="CS34" s="207">
        <v>963.33199999999999</v>
      </c>
      <c r="CT34" s="208">
        <v>1047.549</v>
      </c>
      <c r="CU34" s="227">
        <v>2010.8809999999999</v>
      </c>
      <c r="CV34" s="204">
        <v>274.33299999999997</v>
      </c>
      <c r="CW34" s="205">
        <v>122</v>
      </c>
      <c r="CX34" s="206">
        <v>239</v>
      </c>
      <c r="CY34" s="226">
        <v>361</v>
      </c>
      <c r="CZ34" s="204">
        <v>284.66700000000003</v>
      </c>
      <c r="DA34" s="207">
        <v>270</v>
      </c>
      <c r="DB34" s="208">
        <v>698</v>
      </c>
      <c r="DC34" s="227">
        <v>968</v>
      </c>
      <c r="DD34" s="204">
        <v>312</v>
      </c>
      <c r="DE34" s="207">
        <v>0</v>
      </c>
      <c r="DF34" s="208">
        <v>0</v>
      </c>
      <c r="DG34" s="227">
        <v>0</v>
      </c>
      <c r="DH34" s="204">
        <v>551.81100000000004</v>
      </c>
      <c r="DI34" s="207">
        <v>54</v>
      </c>
      <c r="DJ34" s="208">
        <v>71</v>
      </c>
      <c r="DK34" s="227">
        <v>125</v>
      </c>
      <c r="DL34" s="204">
        <v>611.33399999999995</v>
      </c>
      <c r="DM34" s="207">
        <v>88</v>
      </c>
      <c r="DN34" s="208">
        <v>57</v>
      </c>
      <c r="DO34" s="227">
        <v>145</v>
      </c>
      <c r="DP34" s="204">
        <v>262.91800000000001</v>
      </c>
      <c r="DQ34" s="207">
        <v>96</v>
      </c>
      <c r="DR34" s="208">
        <v>72</v>
      </c>
      <c r="DS34" s="227">
        <v>168</v>
      </c>
      <c r="DT34" s="204">
        <v>213</v>
      </c>
      <c r="DU34" s="205">
        <v>153</v>
      </c>
      <c r="DV34" s="206">
        <v>106</v>
      </c>
      <c r="DW34" s="228">
        <v>259</v>
      </c>
      <c r="DX34" s="204">
        <v>213</v>
      </c>
      <c r="DY34" s="207">
        <v>55</v>
      </c>
      <c r="DZ34" s="208">
        <v>53</v>
      </c>
      <c r="EA34" s="227">
        <v>108</v>
      </c>
      <c r="EB34" s="204">
        <v>229.333</v>
      </c>
      <c r="EC34" s="207">
        <v>0</v>
      </c>
      <c r="ED34" s="208">
        <v>0</v>
      </c>
      <c r="EE34" s="227">
        <v>0</v>
      </c>
      <c r="EF34" s="204">
        <v>229.333</v>
      </c>
      <c r="EG34" s="207">
        <v>462</v>
      </c>
      <c r="EH34" s="208">
        <v>297</v>
      </c>
      <c r="EI34" s="227">
        <v>759</v>
      </c>
      <c r="EJ34" s="204">
        <v>204.666</v>
      </c>
      <c r="EK34" s="207">
        <v>255</v>
      </c>
      <c r="EL34" s="208">
        <v>412</v>
      </c>
      <c r="EM34" s="227">
        <v>667</v>
      </c>
      <c r="EN34" s="204">
        <v>557.69100000000003</v>
      </c>
      <c r="EO34" s="207">
        <v>58</v>
      </c>
      <c r="EP34" s="208">
        <v>43</v>
      </c>
      <c r="EQ34" s="229">
        <v>101</v>
      </c>
      <c r="ER34" s="64"/>
    </row>
    <row r="35" spans="1:148" s="20" customFormat="1" ht="15" x14ac:dyDescent="0.2">
      <c r="A35" s="27"/>
      <c r="B35" s="28" t="s">
        <v>111</v>
      </c>
      <c r="C35" s="29" t="s">
        <v>87</v>
      </c>
      <c r="D35" s="170">
        <v>37362.312000000005</v>
      </c>
      <c r="E35" s="176">
        <f>11674.753-401.66</f>
        <v>11273.093000000001</v>
      </c>
      <c r="F35" s="177">
        <f>11837.015-464.342</f>
        <v>11372.672999999999</v>
      </c>
      <c r="G35" s="215">
        <f>E35+F35</f>
        <v>22645.766</v>
      </c>
      <c r="H35" s="170">
        <f>D35</f>
        <v>37362.312000000005</v>
      </c>
      <c r="I35" s="179">
        <v>16783.376</v>
      </c>
      <c r="J35" s="180">
        <v>19205.909</v>
      </c>
      <c r="K35" s="216">
        <f>I35+J35</f>
        <v>35989.285000000003</v>
      </c>
      <c r="L35" s="170">
        <v>31572.739000000001</v>
      </c>
      <c r="M35" s="179"/>
      <c r="N35" s="180"/>
      <c r="O35" s="216">
        <f>M35+N35</f>
        <v>0</v>
      </c>
      <c r="P35" s="170">
        <v>32652.258000000002</v>
      </c>
      <c r="Q35" s="179">
        <f>[1]Билиб!E29-Q36</f>
        <v>23088.913</v>
      </c>
      <c r="R35" s="180">
        <f>[1]Билиб!F29-R36</f>
        <v>37457.608999999997</v>
      </c>
      <c r="S35" s="216">
        <f>Q35+R35</f>
        <v>60546.521999999997</v>
      </c>
      <c r="T35" s="170">
        <v>38794.786687053791</v>
      </c>
      <c r="U35" s="179">
        <f>35339.429-U36</f>
        <v>34320.428999999996</v>
      </c>
      <c r="V35" s="180">
        <f>42541.544-V36</f>
        <v>41482.544000000002</v>
      </c>
      <c r="W35" s="216">
        <f>U35+V35</f>
        <v>75802.972999999998</v>
      </c>
      <c r="X35" s="170">
        <v>79593.121990661384</v>
      </c>
      <c r="Y35" s="179">
        <v>42586.686999999998</v>
      </c>
      <c r="Z35" s="180">
        <v>43790.561999999998</v>
      </c>
      <c r="AA35" s="183">
        <v>86377.248999999996</v>
      </c>
      <c r="AB35" s="170">
        <v>0</v>
      </c>
      <c r="AC35" s="176"/>
      <c r="AD35" s="177"/>
      <c r="AE35" s="215">
        <v>0</v>
      </c>
      <c r="AF35" s="170"/>
      <c r="AG35" s="179">
        <v>0</v>
      </c>
      <c r="AH35" s="180">
        <v>0</v>
      </c>
      <c r="AI35" s="183">
        <v>0</v>
      </c>
      <c r="AJ35" s="170"/>
      <c r="AK35" s="179">
        <v>0</v>
      </c>
      <c r="AL35" s="180">
        <v>0</v>
      </c>
      <c r="AM35" s="181">
        <v>0</v>
      </c>
      <c r="AN35" s="170"/>
      <c r="AO35" s="179">
        <v>0</v>
      </c>
      <c r="AP35" s="180">
        <v>0</v>
      </c>
      <c r="AQ35" s="183">
        <v>0</v>
      </c>
      <c r="AR35" s="170"/>
      <c r="AS35" s="179">
        <v>0</v>
      </c>
      <c r="AT35" s="180">
        <v>0</v>
      </c>
      <c r="AU35" s="183">
        <v>0</v>
      </c>
      <c r="AV35" s="170">
        <v>0</v>
      </c>
      <c r="AW35" s="179">
        <v>124</v>
      </c>
      <c r="AX35" s="180">
        <v>0</v>
      </c>
      <c r="AY35" s="173">
        <v>124</v>
      </c>
      <c r="AZ35" s="170">
        <v>7.8729999999999993</v>
      </c>
      <c r="BA35" s="176">
        <v>2</v>
      </c>
      <c r="BB35" s="177">
        <v>1</v>
      </c>
      <c r="BC35" s="217">
        <v>3</v>
      </c>
      <c r="BD35" s="170">
        <v>7.8729999999999993</v>
      </c>
      <c r="BE35" s="179">
        <v>3</v>
      </c>
      <c r="BF35" s="180">
        <v>5.8</v>
      </c>
      <c r="BG35" s="218">
        <v>8.8000000000000007</v>
      </c>
      <c r="BH35" s="170">
        <v>10.005853072298516</v>
      </c>
      <c r="BI35" s="179"/>
      <c r="BJ35" s="180"/>
      <c r="BK35" s="216">
        <v>0</v>
      </c>
      <c r="BL35" s="170">
        <v>9.968</v>
      </c>
      <c r="BM35" s="176">
        <v>4.9810000000000016</v>
      </c>
      <c r="BN35" s="177">
        <v>5.0740000000000052</v>
      </c>
      <c r="BO35" s="215">
        <v>10.055000000000007</v>
      </c>
      <c r="BP35" s="170">
        <v>7.5496075443912671</v>
      </c>
      <c r="BQ35" s="179">
        <v>3.8810000000000002</v>
      </c>
      <c r="BR35" s="180">
        <v>12.427999999999997</v>
      </c>
      <c r="BS35" s="216">
        <v>16.308999999999997</v>
      </c>
      <c r="BT35" s="170">
        <v>17.371958190672359</v>
      </c>
      <c r="BU35" s="179">
        <v>11.404</v>
      </c>
      <c r="BV35" s="180">
        <v>14.99</v>
      </c>
      <c r="BW35" s="181">
        <v>26.393999999999998</v>
      </c>
      <c r="BX35" s="170">
        <v>663.24299999999994</v>
      </c>
      <c r="BY35" s="176">
        <v>527</v>
      </c>
      <c r="BZ35" s="177">
        <v>349.5</v>
      </c>
      <c r="CA35" s="215">
        <v>876.5</v>
      </c>
      <c r="CB35" s="170">
        <v>663.24299999999994</v>
      </c>
      <c r="CC35" s="179">
        <v>349.5</v>
      </c>
      <c r="CD35" s="180">
        <v>370</v>
      </c>
      <c r="CE35" s="216">
        <v>719.5</v>
      </c>
      <c r="CF35" s="170">
        <v>1042.860360063301</v>
      </c>
      <c r="CG35" s="179"/>
      <c r="CH35" s="180"/>
      <c r="CI35" s="216">
        <v>0</v>
      </c>
      <c r="CJ35" s="170">
        <v>1011.186</v>
      </c>
      <c r="CK35" s="179">
        <v>324</v>
      </c>
      <c r="CL35" s="180">
        <v>376</v>
      </c>
      <c r="CM35" s="216">
        <v>700</v>
      </c>
      <c r="CN35" s="170">
        <v>693.35844389600379</v>
      </c>
      <c r="CO35" s="179">
        <v>309</v>
      </c>
      <c r="CP35" s="180">
        <v>329</v>
      </c>
      <c r="CQ35" s="216">
        <v>638</v>
      </c>
      <c r="CR35" s="170">
        <v>668.05373601147778</v>
      </c>
      <c r="CS35" s="179">
        <v>801.33199999999999</v>
      </c>
      <c r="CT35" s="180">
        <v>471.54899999999998</v>
      </c>
      <c r="CU35" s="181">
        <v>1272.8809999999999</v>
      </c>
      <c r="CV35" s="170">
        <v>38.078000000000003</v>
      </c>
      <c r="CW35" s="176">
        <v>98</v>
      </c>
      <c r="CX35" s="177">
        <v>200</v>
      </c>
      <c r="CY35" s="215">
        <v>298</v>
      </c>
      <c r="CZ35" s="170">
        <v>284.66700000000003</v>
      </c>
      <c r="DA35" s="179">
        <v>270</v>
      </c>
      <c r="DB35" s="180">
        <v>698</v>
      </c>
      <c r="DC35" s="216">
        <v>968</v>
      </c>
      <c r="DD35" s="170"/>
      <c r="DE35" s="179"/>
      <c r="DF35" s="180"/>
      <c r="DG35" s="216">
        <v>0</v>
      </c>
      <c r="DH35" s="170">
        <v>551.81100000000004</v>
      </c>
      <c r="DI35" s="179">
        <v>54</v>
      </c>
      <c r="DJ35" s="180">
        <v>71</v>
      </c>
      <c r="DK35" s="216">
        <v>125</v>
      </c>
      <c r="DL35" s="170">
        <v>611.33399999999995</v>
      </c>
      <c r="DM35" s="179">
        <v>88</v>
      </c>
      <c r="DN35" s="180">
        <v>57</v>
      </c>
      <c r="DO35" s="216">
        <v>145</v>
      </c>
      <c r="DP35" s="170">
        <v>262.91800000000001</v>
      </c>
      <c r="DQ35" s="179">
        <v>96</v>
      </c>
      <c r="DR35" s="180">
        <v>72</v>
      </c>
      <c r="DS35" s="181">
        <v>168</v>
      </c>
      <c r="DT35" s="170">
        <v>96.914999999999992</v>
      </c>
      <c r="DU35" s="176">
        <v>96</v>
      </c>
      <c r="DV35" s="177">
        <v>89</v>
      </c>
      <c r="DW35" s="217">
        <v>185</v>
      </c>
      <c r="DX35" s="170">
        <v>96.914999999999992</v>
      </c>
      <c r="DY35" s="179">
        <v>48</v>
      </c>
      <c r="DZ35" s="180">
        <v>40</v>
      </c>
      <c r="EA35" s="216">
        <v>88</v>
      </c>
      <c r="EB35" s="170">
        <v>104.346515</v>
      </c>
      <c r="EC35" s="179"/>
      <c r="ED35" s="180"/>
      <c r="EE35" s="216">
        <v>0</v>
      </c>
      <c r="EF35" s="170">
        <v>104.346515</v>
      </c>
      <c r="EG35" s="179">
        <v>269</v>
      </c>
      <c r="EH35" s="180">
        <v>157</v>
      </c>
      <c r="EI35" s="216">
        <v>426</v>
      </c>
      <c r="EJ35" s="170">
        <v>93.123999999999995</v>
      </c>
      <c r="EK35" s="179">
        <v>63</v>
      </c>
      <c r="EL35" s="180">
        <v>220</v>
      </c>
      <c r="EM35" s="216">
        <v>283</v>
      </c>
      <c r="EN35" s="170"/>
      <c r="EO35" s="179">
        <v>46</v>
      </c>
      <c r="EP35" s="180">
        <v>31</v>
      </c>
      <c r="EQ35" s="183">
        <v>77</v>
      </c>
      <c r="ER35" s="63"/>
    </row>
    <row r="36" spans="1:148" s="20" customFormat="1" ht="15" x14ac:dyDescent="0.2">
      <c r="A36" s="51"/>
      <c r="B36" s="52" t="s">
        <v>119</v>
      </c>
      <c r="C36" s="53" t="s">
        <v>87</v>
      </c>
      <c r="D36" s="230">
        <v>449.96599999999671</v>
      </c>
      <c r="E36" s="231">
        <v>3348.116</v>
      </c>
      <c r="F36" s="232">
        <v>3893.7620000000006</v>
      </c>
      <c r="G36" s="233">
        <f>E36+F36</f>
        <v>7241.8780000000006</v>
      </c>
      <c r="H36" s="234">
        <f>D36</f>
        <v>449.96599999999671</v>
      </c>
      <c r="I36" s="235">
        <v>495</v>
      </c>
      <c r="J36" s="236">
        <v>1269</v>
      </c>
      <c r="K36" s="237">
        <f>I36+J36</f>
        <v>1764</v>
      </c>
      <c r="L36" s="234">
        <v>380.23999999999796</v>
      </c>
      <c r="M36" s="235"/>
      <c r="N36" s="236"/>
      <c r="O36" s="237">
        <f>M36+N36</f>
        <v>0</v>
      </c>
      <c r="P36" s="234">
        <v>393.24100000000197</v>
      </c>
      <c r="Q36" s="235">
        <v>816</v>
      </c>
      <c r="R36" s="236">
        <v>1168</v>
      </c>
      <c r="S36" s="237">
        <f>Q36+R36</f>
        <v>1984</v>
      </c>
      <c r="T36" s="234">
        <v>467.21731294620986</v>
      </c>
      <c r="U36" s="235">
        <v>1019</v>
      </c>
      <c r="V36" s="236">
        <v>1059</v>
      </c>
      <c r="W36" s="237">
        <f>U36+V36</f>
        <v>2078</v>
      </c>
      <c r="X36" s="234">
        <v>2181.9000093386094</v>
      </c>
      <c r="Y36" s="235">
        <v>1333</v>
      </c>
      <c r="Z36" s="236">
        <v>898</v>
      </c>
      <c r="AA36" s="238">
        <v>2231</v>
      </c>
      <c r="AB36" s="230">
        <v>333.33299999999997</v>
      </c>
      <c r="AC36" s="231">
        <v>164</v>
      </c>
      <c r="AD36" s="232">
        <v>162</v>
      </c>
      <c r="AE36" s="233">
        <v>326</v>
      </c>
      <c r="AF36" s="234">
        <v>333.33299999999997</v>
      </c>
      <c r="AG36" s="239">
        <v>164</v>
      </c>
      <c r="AH36" s="240">
        <v>162</v>
      </c>
      <c r="AI36" s="241">
        <v>326</v>
      </c>
      <c r="AJ36" s="234">
        <v>333.33299999999997</v>
      </c>
      <c r="AK36" s="239"/>
      <c r="AL36" s="240"/>
      <c r="AM36" s="242">
        <v>0</v>
      </c>
      <c r="AN36" s="234">
        <v>326</v>
      </c>
      <c r="AO36" s="239">
        <v>130</v>
      </c>
      <c r="AP36" s="240">
        <v>125</v>
      </c>
      <c r="AQ36" s="241">
        <v>255</v>
      </c>
      <c r="AR36" s="234">
        <v>326</v>
      </c>
      <c r="AS36" s="239">
        <v>127</v>
      </c>
      <c r="AT36" s="240">
        <v>153</v>
      </c>
      <c r="AU36" s="241">
        <v>280</v>
      </c>
      <c r="AV36" s="234">
        <v>287</v>
      </c>
      <c r="AW36" s="235">
        <v>125</v>
      </c>
      <c r="AX36" s="236">
        <v>122</v>
      </c>
      <c r="AY36" s="243">
        <v>247</v>
      </c>
      <c r="AZ36" s="234">
        <v>75.793999999999997</v>
      </c>
      <c r="BA36" s="231">
        <v>38</v>
      </c>
      <c r="BB36" s="232">
        <v>37</v>
      </c>
      <c r="BC36" s="233">
        <v>75</v>
      </c>
      <c r="BD36" s="234">
        <v>75.793999999999997</v>
      </c>
      <c r="BE36" s="235">
        <v>38</v>
      </c>
      <c r="BF36" s="236">
        <v>37</v>
      </c>
      <c r="BG36" s="244">
        <v>75</v>
      </c>
      <c r="BH36" s="234">
        <v>96.327146927701477</v>
      </c>
      <c r="BI36" s="235"/>
      <c r="BJ36" s="236"/>
      <c r="BK36" s="237">
        <v>0</v>
      </c>
      <c r="BL36" s="234">
        <v>95.965000000000003</v>
      </c>
      <c r="BM36" s="231">
        <v>38</v>
      </c>
      <c r="BN36" s="232">
        <v>34</v>
      </c>
      <c r="BO36" s="233">
        <v>72</v>
      </c>
      <c r="BP36" s="234">
        <v>72.682392455608735</v>
      </c>
      <c r="BQ36" s="235">
        <v>35</v>
      </c>
      <c r="BR36" s="236">
        <v>22</v>
      </c>
      <c r="BS36" s="237">
        <v>57</v>
      </c>
      <c r="BT36" s="234">
        <v>60.715041809327644</v>
      </c>
      <c r="BU36" s="235">
        <v>0</v>
      </c>
      <c r="BV36" s="236">
        <v>0</v>
      </c>
      <c r="BW36" s="238">
        <v>0</v>
      </c>
      <c r="BX36" s="234">
        <v>131.05900000000003</v>
      </c>
      <c r="BY36" s="231">
        <v>55.5</v>
      </c>
      <c r="BZ36" s="232">
        <v>53.5</v>
      </c>
      <c r="CA36" s="233">
        <v>109</v>
      </c>
      <c r="CB36" s="234">
        <v>131.05900000000003</v>
      </c>
      <c r="CC36" s="235">
        <v>30.5</v>
      </c>
      <c r="CD36" s="236">
        <v>29.5</v>
      </c>
      <c r="CE36" s="237">
        <v>60</v>
      </c>
      <c r="CF36" s="234">
        <v>206.0726399366992</v>
      </c>
      <c r="CG36" s="235"/>
      <c r="CH36" s="236"/>
      <c r="CI36" s="237">
        <v>0</v>
      </c>
      <c r="CJ36" s="234">
        <v>203.166</v>
      </c>
      <c r="CK36" s="235">
        <v>30.5</v>
      </c>
      <c r="CL36" s="236">
        <v>29</v>
      </c>
      <c r="CM36" s="237">
        <v>59.5</v>
      </c>
      <c r="CN36" s="234">
        <v>139.30855610399624</v>
      </c>
      <c r="CO36" s="235">
        <v>30</v>
      </c>
      <c r="CP36" s="236">
        <v>29</v>
      </c>
      <c r="CQ36" s="237">
        <v>59</v>
      </c>
      <c r="CR36" s="234">
        <v>61.779263988522189</v>
      </c>
      <c r="CS36" s="235">
        <v>162</v>
      </c>
      <c r="CT36" s="236">
        <v>576</v>
      </c>
      <c r="CU36" s="238">
        <v>738</v>
      </c>
      <c r="CV36" s="234">
        <v>236.255</v>
      </c>
      <c r="CW36" s="231">
        <v>24</v>
      </c>
      <c r="CX36" s="232">
        <v>39</v>
      </c>
      <c r="CY36" s="233">
        <v>63</v>
      </c>
      <c r="CZ36" s="234"/>
      <c r="DA36" s="235">
        <v>0</v>
      </c>
      <c r="DB36" s="236">
        <v>0</v>
      </c>
      <c r="DC36" s="237">
        <v>0</v>
      </c>
      <c r="DD36" s="234">
        <v>312</v>
      </c>
      <c r="DE36" s="235"/>
      <c r="DF36" s="236"/>
      <c r="DG36" s="237">
        <v>0</v>
      </c>
      <c r="DH36" s="234"/>
      <c r="DI36" s="235">
        <v>0</v>
      </c>
      <c r="DJ36" s="236">
        <v>0</v>
      </c>
      <c r="DK36" s="237">
        <v>0</v>
      </c>
      <c r="DL36" s="234"/>
      <c r="DM36" s="235">
        <v>0</v>
      </c>
      <c r="DN36" s="236">
        <v>0</v>
      </c>
      <c r="DO36" s="237">
        <v>0</v>
      </c>
      <c r="DP36" s="234">
        <v>0</v>
      </c>
      <c r="DQ36" s="235">
        <v>0</v>
      </c>
      <c r="DR36" s="236">
        <v>0</v>
      </c>
      <c r="DS36" s="238">
        <v>0</v>
      </c>
      <c r="DT36" s="234">
        <v>116.08500000000001</v>
      </c>
      <c r="DU36" s="235">
        <v>57</v>
      </c>
      <c r="DV36" s="236">
        <v>17</v>
      </c>
      <c r="DW36" s="244">
        <v>74</v>
      </c>
      <c r="DX36" s="234">
        <v>116.08500000000001</v>
      </c>
      <c r="DY36" s="235">
        <v>7</v>
      </c>
      <c r="DZ36" s="236">
        <v>13</v>
      </c>
      <c r="EA36" s="237">
        <v>20</v>
      </c>
      <c r="EB36" s="234">
        <v>124.986485</v>
      </c>
      <c r="EC36" s="235"/>
      <c r="ED36" s="236"/>
      <c r="EE36" s="237">
        <v>0</v>
      </c>
      <c r="EF36" s="234">
        <v>124.986485</v>
      </c>
      <c r="EG36" s="235">
        <v>193</v>
      </c>
      <c r="EH36" s="236">
        <v>140</v>
      </c>
      <c r="EI36" s="237">
        <v>333</v>
      </c>
      <c r="EJ36" s="234">
        <v>111.542</v>
      </c>
      <c r="EK36" s="235">
        <v>192</v>
      </c>
      <c r="EL36" s="236">
        <v>192</v>
      </c>
      <c r="EM36" s="237">
        <v>384</v>
      </c>
      <c r="EN36" s="234">
        <v>557.69100000000003</v>
      </c>
      <c r="EO36" s="235">
        <v>12</v>
      </c>
      <c r="EP36" s="236">
        <v>12</v>
      </c>
      <c r="EQ36" s="238">
        <v>24</v>
      </c>
      <c r="ER36" s="63"/>
    </row>
    <row r="37" spans="1:148" hidden="1" x14ac:dyDescent="0.2">
      <c r="X37" s="54">
        <v>2181.9000093386094</v>
      </c>
      <c r="Y37" s="54">
        <v>1333</v>
      </c>
      <c r="Z37" s="54">
        <v>898</v>
      </c>
      <c r="AA37" s="54">
        <v>2231</v>
      </c>
    </row>
    <row r="38" spans="1:148" hidden="1" x14ac:dyDescent="0.2">
      <c r="E38" s="80">
        <f>301912.975+282571.548-213779.194-194095.049</f>
        <v>176610.28000000003</v>
      </c>
    </row>
    <row r="39" spans="1:148" hidden="1" x14ac:dyDescent="0.2">
      <c r="E39" s="80">
        <f>213779.194+194095.049</f>
        <v>407874.24300000002</v>
      </c>
    </row>
    <row r="40" spans="1:148" hidden="1" x14ac:dyDescent="0.2"/>
    <row r="41" spans="1:148" ht="14.25" hidden="1" x14ac:dyDescent="0.2">
      <c r="B41" s="55" t="s">
        <v>102</v>
      </c>
      <c r="C41" s="56"/>
      <c r="D41" s="56"/>
      <c r="E41" s="81"/>
      <c r="F41" s="81"/>
      <c r="G41" s="81"/>
    </row>
    <row r="42" spans="1:148" hidden="1" x14ac:dyDescent="0.2">
      <c r="B42" s="57" t="s">
        <v>130</v>
      </c>
      <c r="C42" s="57"/>
      <c r="D42" s="57"/>
      <c r="E42" s="82">
        <v>2091.9360000000001</v>
      </c>
      <c r="F42" s="81">
        <f>3904.496-E42</f>
        <v>1812.56</v>
      </c>
      <c r="G42" s="81"/>
    </row>
    <row r="43" spans="1:148" hidden="1" x14ac:dyDescent="0.2">
      <c r="B43" s="57" t="s">
        <v>131</v>
      </c>
      <c r="C43" s="57"/>
      <c r="D43" s="57"/>
      <c r="E43" s="82">
        <v>1000</v>
      </c>
      <c r="F43" s="81">
        <f>5854.928-E43</f>
        <v>4854.9279999999999</v>
      </c>
      <c r="G43" s="81"/>
    </row>
    <row r="44" spans="1:148" hidden="1" x14ac:dyDescent="0.2">
      <c r="B44" s="57" t="s">
        <v>132</v>
      </c>
      <c r="C44" s="57"/>
      <c r="D44" s="57"/>
      <c r="E44" s="82">
        <v>0</v>
      </c>
      <c r="F44" s="81">
        <v>0</v>
      </c>
      <c r="G44" s="81"/>
    </row>
    <row r="45" spans="1:148" hidden="1" x14ac:dyDescent="0.2">
      <c r="B45" s="57" t="s">
        <v>133</v>
      </c>
      <c r="C45" s="57"/>
      <c r="D45" s="57"/>
      <c r="E45" s="82">
        <v>1748.1</v>
      </c>
      <c r="F45" s="81">
        <f>3681.392-E45</f>
        <v>1933.2919999999999</v>
      </c>
      <c r="G45" s="81"/>
    </row>
    <row r="46" spans="1:148" hidden="1" x14ac:dyDescent="0.2">
      <c r="B46" s="58"/>
      <c r="C46" s="58"/>
      <c r="D46" s="58"/>
      <c r="E46" s="83">
        <f>SUM(E42:E45)</f>
        <v>4840.0360000000001</v>
      </c>
      <c r="F46" s="83">
        <f>SUM(F42:F45)</f>
        <v>8600.7799999999988</v>
      </c>
      <c r="G46" s="81"/>
    </row>
    <row r="47" spans="1:148" hidden="1" x14ac:dyDescent="0.2"/>
    <row r="48" spans="1:148" hidden="1" x14ac:dyDescent="0.2">
      <c r="E48" s="80">
        <f>66095.645+67857.431</f>
        <v>133953.076</v>
      </c>
      <c r="F48" s="80">
        <f>10572.499+10880.914</f>
        <v>21453.413</v>
      </c>
      <c r="G48" s="80">
        <f>11465.637+9738.154</f>
        <v>21203.791000000001</v>
      </c>
    </row>
    <row r="49" spans="5:108" hidden="1" x14ac:dyDescent="0.2"/>
    <row r="50" spans="5:108" hidden="1" x14ac:dyDescent="0.2">
      <c r="E50" s="84">
        <f>E17-E24-E31-E34</f>
        <v>312297.92600000004</v>
      </c>
    </row>
    <row r="51" spans="5:108" hidden="1" x14ac:dyDescent="0.2"/>
    <row r="52" spans="5:108" hidden="1" x14ac:dyDescent="0.2">
      <c r="E52" s="84">
        <f>E50-E18</f>
        <v>0</v>
      </c>
    </row>
    <row r="53" spans="5:108" hidden="1" x14ac:dyDescent="0.2"/>
    <row r="54" spans="5:108" hidden="1" x14ac:dyDescent="0.2"/>
    <row r="55" spans="5:108" x14ac:dyDescent="0.2">
      <c r="DD55" s="93"/>
    </row>
  </sheetData>
  <mergeCells count="83">
    <mergeCell ref="D2:EA2"/>
    <mergeCell ref="BT4:BW4"/>
    <mergeCell ref="BP4:BS4"/>
    <mergeCell ref="BX3:CU3"/>
    <mergeCell ref="CZ4:DC4"/>
    <mergeCell ref="DD4:DG4"/>
    <mergeCell ref="BX4:CA4"/>
    <mergeCell ref="CR4:CU4"/>
    <mergeCell ref="CB4:CE4"/>
    <mergeCell ref="CV4:CY4"/>
    <mergeCell ref="CN4:CQ4"/>
    <mergeCell ref="CF4:CI4"/>
    <mergeCell ref="CV3:DS3"/>
    <mergeCell ref="DL4:DO4"/>
    <mergeCell ref="DP4:DS4"/>
    <mergeCell ref="AZ3:BW3"/>
    <mergeCell ref="DT4:DW4"/>
    <mergeCell ref="DU5:DW5"/>
    <mergeCell ref="DQ5:DS5"/>
    <mergeCell ref="EF4:EI4"/>
    <mergeCell ref="EG5:EI5"/>
    <mergeCell ref="EN4:EQ4"/>
    <mergeCell ref="EJ4:EM4"/>
    <mergeCell ref="EK5:EM5"/>
    <mergeCell ref="DY5:EA5"/>
    <mergeCell ref="DX4:EA4"/>
    <mergeCell ref="EC5:EE5"/>
    <mergeCell ref="EB4:EE4"/>
    <mergeCell ref="DT3:EQ3"/>
    <mergeCell ref="AW5:AY5"/>
    <mergeCell ref="DE5:DG5"/>
    <mergeCell ref="DA5:DC5"/>
    <mergeCell ref="CS5:CU5"/>
    <mergeCell ref="CW5:CY5"/>
    <mergeCell ref="BY5:CA5"/>
    <mergeCell ref="CG5:CI5"/>
    <mergeCell ref="CC5:CE5"/>
    <mergeCell ref="BI5:BK5"/>
    <mergeCell ref="BQ5:BS5"/>
    <mergeCell ref="BU5:BW5"/>
    <mergeCell ref="BA5:BC5"/>
    <mergeCell ref="AV4:AY4"/>
    <mergeCell ref="DM5:DO5"/>
    <mergeCell ref="EO5:EQ5"/>
    <mergeCell ref="A1:AC1"/>
    <mergeCell ref="H4:K4"/>
    <mergeCell ref="A2:A6"/>
    <mergeCell ref="C2:C6"/>
    <mergeCell ref="B2:B6"/>
    <mergeCell ref="AB3:AY3"/>
    <mergeCell ref="AB4:AE4"/>
    <mergeCell ref="L4:O4"/>
    <mergeCell ref="I5:K5"/>
    <mergeCell ref="AC5:AE5"/>
    <mergeCell ref="M5:O5"/>
    <mergeCell ref="U5:W5"/>
    <mergeCell ref="AK5:AM5"/>
    <mergeCell ref="D3:AA3"/>
    <mergeCell ref="X4:AA4"/>
    <mergeCell ref="T4:W4"/>
    <mergeCell ref="BH4:BK4"/>
    <mergeCell ref="BD4:BG4"/>
    <mergeCell ref="AJ4:AM4"/>
    <mergeCell ref="AZ4:BC4"/>
    <mergeCell ref="E5:G5"/>
    <mergeCell ref="AS5:AU5"/>
    <mergeCell ref="D4:G4"/>
    <mergeCell ref="Y5:AA5"/>
    <mergeCell ref="AF4:AI4"/>
    <mergeCell ref="AG5:AI5"/>
    <mergeCell ref="AR4:AU4"/>
    <mergeCell ref="AN4:AQ4"/>
    <mergeCell ref="AO5:AQ5"/>
    <mergeCell ref="P4:S4"/>
    <mergeCell ref="Q5:S5"/>
    <mergeCell ref="BE5:BG5"/>
    <mergeCell ref="DH4:DK4"/>
    <mergeCell ref="DI5:DK5"/>
    <mergeCell ref="CJ4:CM4"/>
    <mergeCell ref="CK5:CM5"/>
    <mergeCell ref="BL4:BO4"/>
    <mergeCell ref="BM5:BO5"/>
    <mergeCell ref="CO5:CQ5"/>
  </mergeCells>
  <phoneticPr fontId="3" type="noConversion"/>
  <printOptions horizontalCentered="1"/>
  <pageMargins left="0.39370078740157483" right="0.39370078740157483" top="1.1811023622047245" bottom="0.39370078740157483" header="0.31496062992125984" footer="0.31496062992125984"/>
  <pageSetup paperSize="9" scale="65" fitToWidth="2" orientation="landscape" r:id="rId1"/>
  <headerFooter alignWithMargins="0"/>
  <colBreaks count="1" manualBreakCount="1">
    <brk id="75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J123"/>
  <sheetViews>
    <sheetView topLeftCell="B1" zoomScale="60" zoomScaleNormal="60" zoomScaleSheetLayoutView="75" workbookViewId="0">
      <pane xSplit="2" ySplit="5" topLeftCell="D101" activePane="bottomRight" state="frozen"/>
      <selection activeCell="AA4" sqref="AA4:AA5"/>
      <selection pane="topRight" activeCell="AA4" sqref="AA4:AA5"/>
      <selection pane="bottomLeft" activeCell="AA4" sqref="AA4:AA5"/>
      <selection pane="bottomRight" activeCell="J96" sqref="J96"/>
    </sheetView>
  </sheetViews>
  <sheetFormatPr defaultRowHeight="15.75" x14ac:dyDescent="0.25"/>
  <cols>
    <col min="1" max="1" width="3.7109375" style="65" hidden="1" customWidth="1"/>
    <col min="2" max="2" width="6" style="65" customWidth="1"/>
    <col min="3" max="3" width="43.5703125" style="65" customWidth="1"/>
    <col min="4" max="4" width="15.28515625" style="65" customWidth="1"/>
    <col min="5" max="5" width="18" style="65" customWidth="1"/>
    <col min="6" max="6" width="50.42578125" style="65" customWidth="1"/>
    <col min="7" max="7" width="15.7109375" style="65" customWidth="1"/>
    <col min="8" max="8" width="18" style="65" customWidth="1"/>
    <col min="9" max="9" width="14.85546875" style="65" customWidth="1"/>
    <col min="10" max="10" width="40" style="65" customWidth="1"/>
    <col min="11" max="16384" width="9.140625" style="65"/>
  </cols>
  <sheetData>
    <row r="1" spans="2:10" ht="42" customHeight="1" x14ac:dyDescent="0.25">
      <c r="B1" s="367" t="s">
        <v>139</v>
      </c>
      <c r="C1" s="367"/>
      <c r="D1" s="367"/>
      <c r="E1" s="367"/>
      <c r="F1" s="367"/>
      <c r="G1" s="367"/>
      <c r="H1" s="367"/>
      <c r="I1" s="367"/>
      <c r="J1" s="367"/>
    </row>
    <row r="2" spans="2:10" ht="19.5" customHeight="1" x14ac:dyDescent="0.25">
      <c r="B2" s="368" t="s">
        <v>140</v>
      </c>
      <c r="C2" s="368"/>
      <c r="D2" s="368"/>
      <c r="E2" s="368"/>
      <c r="F2" s="368"/>
      <c r="G2" s="368"/>
      <c r="H2" s="368"/>
      <c r="I2" s="368"/>
      <c r="J2" s="368"/>
    </row>
    <row r="3" spans="2:10" ht="19.5" customHeight="1" x14ac:dyDescent="0.25">
      <c r="B3" s="369" t="s">
        <v>21</v>
      </c>
      <c r="C3" s="370" t="s">
        <v>148</v>
      </c>
      <c r="D3" s="370"/>
      <c r="E3" s="370"/>
      <c r="F3" s="371" t="s">
        <v>128</v>
      </c>
      <c r="G3" s="371"/>
      <c r="H3" s="371"/>
      <c r="I3" s="369" t="s">
        <v>149</v>
      </c>
      <c r="J3" s="369" t="s">
        <v>150</v>
      </c>
    </row>
    <row r="4" spans="2:10" ht="89.25" customHeight="1" x14ac:dyDescent="0.25">
      <c r="B4" s="369"/>
      <c r="C4" s="13" t="s">
        <v>22</v>
      </c>
      <c r="D4" s="13" t="s">
        <v>1</v>
      </c>
      <c r="E4" s="13" t="s">
        <v>23</v>
      </c>
      <c r="F4" s="13" t="s">
        <v>22</v>
      </c>
      <c r="G4" s="13" t="s">
        <v>1</v>
      </c>
      <c r="H4" s="13" t="s">
        <v>23</v>
      </c>
      <c r="I4" s="369"/>
      <c r="J4" s="369"/>
    </row>
    <row r="5" spans="2:10" x14ac:dyDescent="0.25"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</row>
    <row r="6" spans="2:10" ht="15.75" customHeight="1" x14ac:dyDescent="0.25">
      <c r="B6" s="349" t="s">
        <v>15</v>
      </c>
      <c r="C6" s="350"/>
      <c r="D6" s="350"/>
      <c r="E6" s="350"/>
      <c r="F6" s="350"/>
      <c r="G6" s="350"/>
      <c r="H6" s="350"/>
      <c r="I6" s="350"/>
      <c r="J6" s="351"/>
    </row>
    <row r="7" spans="2:10" ht="19.5" hidden="1" customHeight="1" x14ac:dyDescent="0.25">
      <c r="B7" s="13" t="s">
        <v>6</v>
      </c>
      <c r="C7" s="111" t="s">
        <v>199</v>
      </c>
      <c r="D7" s="383" t="s">
        <v>167</v>
      </c>
      <c r="E7" s="100"/>
      <c r="F7" s="111" t="s">
        <v>199</v>
      </c>
      <c r="G7" s="369" t="s">
        <v>167</v>
      </c>
      <c r="H7" s="152"/>
      <c r="I7" s="152"/>
      <c r="J7" s="152"/>
    </row>
    <row r="8" spans="2:10" ht="69.75" hidden="1" customHeight="1" x14ac:dyDescent="0.25">
      <c r="B8" s="13" t="s">
        <v>7</v>
      </c>
      <c r="C8" s="111" t="s">
        <v>142</v>
      </c>
      <c r="D8" s="383"/>
      <c r="E8" s="100">
        <v>303.16000000000003</v>
      </c>
      <c r="F8" s="111" t="s">
        <v>168</v>
      </c>
      <c r="G8" s="369"/>
      <c r="H8" s="139">
        <v>406.27</v>
      </c>
      <c r="I8" s="139">
        <f>H8-E8</f>
        <v>103.10999999999996</v>
      </c>
      <c r="J8" s="152"/>
    </row>
    <row r="9" spans="2:10" ht="40.5" hidden="1" customHeight="1" x14ac:dyDescent="0.25">
      <c r="B9" s="13" t="s">
        <v>8</v>
      </c>
      <c r="C9" s="111"/>
      <c r="D9" s="383"/>
      <c r="E9" s="100"/>
      <c r="F9" s="111" t="s">
        <v>169</v>
      </c>
      <c r="G9" s="369"/>
      <c r="H9" s="139">
        <v>298.85000000000002</v>
      </c>
      <c r="I9" s="139">
        <f t="shared" ref="I9:I14" si="0">H9-E9</f>
        <v>298.85000000000002</v>
      </c>
      <c r="J9" s="152"/>
    </row>
    <row r="10" spans="2:10" ht="66.75" hidden="1" customHeight="1" x14ac:dyDescent="0.25">
      <c r="B10" s="13" t="s">
        <v>9</v>
      </c>
      <c r="C10" s="111"/>
      <c r="D10" s="383"/>
      <c r="E10" s="100"/>
      <c r="F10" s="111" t="s">
        <v>170</v>
      </c>
      <c r="G10" s="369"/>
      <c r="H10" s="139">
        <v>1185.03</v>
      </c>
      <c r="I10" s="139">
        <f t="shared" si="0"/>
        <v>1185.03</v>
      </c>
      <c r="J10" s="152"/>
    </row>
    <row r="11" spans="2:10" ht="70.5" hidden="1" customHeight="1" x14ac:dyDescent="0.25">
      <c r="B11" s="13" t="s">
        <v>10</v>
      </c>
      <c r="C11" s="271"/>
      <c r="D11" s="383"/>
      <c r="E11" s="100"/>
      <c r="F11" s="111" t="s">
        <v>171</v>
      </c>
      <c r="G11" s="369"/>
      <c r="H11" s="139">
        <v>1681.92</v>
      </c>
      <c r="I11" s="139">
        <f t="shared" si="0"/>
        <v>1681.92</v>
      </c>
      <c r="J11" s="152"/>
    </row>
    <row r="12" spans="2:10" ht="18" hidden="1" customHeight="1" x14ac:dyDescent="0.25">
      <c r="B12" s="13" t="s">
        <v>11</v>
      </c>
      <c r="C12" s="271"/>
      <c r="D12" s="383"/>
      <c r="E12" s="100"/>
      <c r="F12" s="111" t="s">
        <v>172</v>
      </c>
      <c r="G12" s="369"/>
      <c r="H12" s="139">
        <v>97.5</v>
      </c>
      <c r="I12" s="139">
        <f t="shared" si="0"/>
        <v>97.5</v>
      </c>
      <c r="J12" s="152"/>
    </row>
    <row r="13" spans="2:10" ht="36.75" hidden="1" customHeight="1" x14ac:dyDescent="0.25">
      <c r="B13" s="13" t="s">
        <v>141</v>
      </c>
      <c r="C13" s="272"/>
      <c r="D13" s="383"/>
      <c r="E13" s="100"/>
      <c r="F13" s="111" t="s">
        <v>206</v>
      </c>
      <c r="G13" s="369"/>
      <c r="H13" s="139">
        <v>192.1</v>
      </c>
      <c r="I13" s="139">
        <f t="shared" si="0"/>
        <v>192.1</v>
      </c>
      <c r="J13" s="152"/>
    </row>
    <row r="14" spans="2:10" ht="16.5" hidden="1" customHeight="1" x14ac:dyDescent="0.25">
      <c r="B14" s="358" t="s">
        <v>24</v>
      </c>
      <c r="C14" s="359"/>
      <c r="D14" s="270"/>
      <c r="E14" s="99">
        <f>SUM(E8:E13)</f>
        <v>303.16000000000003</v>
      </c>
      <c r="F14" s="111"/>
      <c r="G14" s="253"/>
      <c r="H14" s="112">
        <f>SUM(H8:H13)</f>
        <v>3861.67</v>
      </c>
      <c r="I14" s="112">
        <f t="shared" si="0"/>
        <v>3558.51</v>
      </c>
      <c r="J14" s="152"/>
    </row>
    <row r="15" spans="2:10" ht="19.5" customHeight="1" x14ac:dyDescent="0.25">
      <c r="B15" s="13" t="s">
        <v>6</v>
      </c>
      <c r="C15" s="256" t="s">
        <v>199</v>
      </c>
      <c r="D15" s="352" t="s">
        <v>190</v>
      </c>
      <c r="E15" s="100"/>
      <c r="F15" s="111" t="s">
        <v>199</v>
      </c>
      <c r="G15" s="364" t="s">
        <v>190</v>
      </c>
      <c r="H15" s="139"/>
      <c r="I15" s="252"/>
      <c r="J15" s="152"/>
    </row>
    <row r="16" spans="2:10" ht="47.25" customHeight="1" x14ac:dyDescent="0.25">
      <c r="B16" s="14" t="s">
        <v>7</v>
      </c>
      <c r="C16" s="259" t="s">
        <v>142</v>
      </c>
      <c r="D16" s="353"/>
      <c r="E16" s="139">
        <v>317.508252885172</v>
      </c>
      <c r="F16" s="110" t="s">
        <v>191</v>
      </c>
      <c r="G16" s="365"/>
      <c r="H16" s="139">
        <v>239.08</v>
      </c>
      <c r="I16" s="139">
        <f>H16-E16</f>
        <v>-78.428252885171986</v>
      </c>
      <c r="J16" s="355" t="s">
        <v>204</v>
      </c>
    </row>
    <row r="17" spans="2:10" ht="37.5" customHeight="1" x14ac:dyDescent="0.25">
      <c r="B17" s="14" t="s">
        <v>8</v>
      </c>
      <c r="C17" s="259"/>
      <c r="D17" s="353"/>
      <c r="E17" s="254"/>
      <c r="F17" s="110" t="s">
        <v>192</v>
      </c>
      <c r="G17" s="365"/>
      <c r="H17" s="139">
        <v>197.24</v>
      </c>
      <c r="I17" s="139">
        <f>H17-E17</f>
        <v>197.24</v>
      </c>
      <c r="J17" s="356"/>
    </row>
    <row r="18" spans="2:10" ht="63" customHeight="1" x14ac:dyDescent="0.25">
      <c r="B18" s="14" t="s">
        <v>9</v>
      </c>
      <c r="C18" s="259"/>
      <c r="D18" s="353"/>
      <c r="E18" s="254"/>
      <c r="F18" s="110" t="s">
        <v>193</v>
      </c>
      <c r="G18" s="365"/>
      <c r="H18" s="139">
        <v>2446.94</v>
      </c>
      <c r="I18" s="139">
        <f>H18-E18</f>
        <v>2446.94</v>
      </c>
      <c r="J18" s="356"/>
    </row>
    <row r="19" spans="2:10" ht="30.75" customHeight="1" x14ac:dyDescent="0.25">
      <c r="B19" s="14" t="s">
        <v>10</v>
      </c>
      <c r="C19" s="259"/>
      <c r="D19" s="353"/>
      <c r="E19" s="254"/>
      <c r="F19" s="110" t="s">
        <v>194</v>
      </c>
      <c r="G19" s="365"/>
      <c r="H19" s="139">
        <v>49</v>
      </c>
      <c r="I19" s="139">
        <f t="shared" ref="I19:I25" si="1">H19-E19</f>
        <v>49</v>
      </c>
      <c r="J19" s="356"/>
    </row>
    <row r="20" spans="2:10" ht="69" customHeight="1" x14ac:dyDescent="0.25">
      <c r="B20" s="14" t="s">
        <v>11</v>
      </c>
      <c r="C20" s="259"/>
      <c r="D20" s="353"/>
      <c r="E20" s="254"/>
      <c r="F20" s="110" t="s">
        <v>195</v>
      </c>
      <c r="G20" s="365"/>
      <c r="H20" s="139">
        <v>66.67</v>
      </c>
      <c r="I20" s="139">
        <f t="shared" si="1"/>
        <v>66.67</v>
      </c>
      <c r="J20" s="356"/>
    </row>
    <row r="21" spans="2:10" ht="50.25" customHeight="1" x14ac:dyDescent="0.25">
      <c r="B21" s="14" t="s">
        <v>141</v>
      </c>
      <c r="C21" s="259"/>
      <c r="D21" s="353"/>
      <c r="E21" s="254"/>
      <c r="F21" s="110" t="s">
        <v>196</v>
      </c>
      <c r="G21" s="365"/>
      <c r="H21" s="139">
        <v>100</v>
      </c>
      <c r="I21" s="139">
        <f t="shared" si="1"/>
        <v>100</v>
      </c>
      <c r="J21" s="356"/>
    </row>
    <row r="22" spans="2:10" ht="50.25" customHeight="1" x14ac:dyDescent="0.25">
      <c r="B22" s="14" t="s">
        <v>200</v>
      </c>
      <c r="C22" s="260"/>
      <c r="D22" s="353"/>
      <c r="E22" s="139"/>
      <c r="F22" s="110" t="s">
        <v>197</v>
      </c>
      <c r="G22" s="365"/>
      <c r="H22" s="139">
        <v>22.41</v>
      </c>
      <c r="I22" s="139">
        <f t="shared" si="1"/>
        <v>22.41</v>
      </c>
      <c r="J22" s="356"/>
    </row>
    <row r="23" spans="2:10" ht="47.25" x14ac:dyDescent="0.25">
      <c r="B23" s="14" t="s">
        <v>201</v>
      </c>
      <c r="C23" s="260"/>
      <c r="D23" s="353"/>
      <c r="E23" s="139"/>
      <c r="F23" s="110" t="s">
        <v>198</v>
      </c>
      <c r="G23" s="365"/>
      <c r="H23" s="139">
        <v>247.12</v>
      </c>
      <c r="I23" s="139">
        <f t="shared" si="1"/>
        <v>247.12</v>
      </c>
      <c r="J23" s="357"/>
    </row>
    <row r="24" spans="2:10" ht="18" customHeight="1" x14ac:dyDescent="0.25">
      <c r="B24" s="255" t="s">
        <v>12</v>
      </c>
      <c r="C24" s="261" t="s">
        <v>202</v>
      </c>
      <c r="D24" s="353"/>
      <c r="E24" s="139"/>
      <c r="F24" s="261" t="s">
        <v>202</v>
      </c>
      <c r="G24" s="365"/>
      <c r="H24" s="139"/>
      <c r="I24" s="139"/>
      <c r="J24" s="151"/>
    </row>
    <row r="25" spans="2:10" ht="86.25" customHeight="1" x14ac:dyDescent="0.25">
      <c r="B25" s="14" t="s">
        <v>13</v>
      </c>
      <c r="C25" s="260"/>
      <c r="D25" s="354"/>
      <c r="E25" s="139"/>
      <c r="F25" s="110" t="s">
        <v>203</v>
      </c>
      <c r="G25" s="366"/>
      <c r="H25" s="139">
        <v>449.96</v>
      </c>
      <c r="I25" s="139">
        <f t="shared" si="1"/>
        <v>449.96</v>
      </c>
      <c r="J25" s="151" t="s">
        <v>204</v>
      </c>
    </row>
    <row r="26" spans="2:10" ht="18" customHeight="1" x14ac:dyDescent="0.25">
      <c r="B26" s="13"/>
      <c r="C26" s="136" t="s">
        <v>24</v>
      </c>
      <c r="D26" s="13"/>
      <c r="E26" s="112">
        <f>SUM(E16:E25)</f>
        <v>317.508252885172</v>
      </c>
      <c r="F26" s="111"/>
      <c r="G26" s="107"/>
      <c r="H26" s="112">
        <f>SUM(H16:H25)</f>
        <v>3818.42</v>
      </c>
      <c r="I26" s="112">
        <f>SUM(I16:I25)</f>
        <v>3500.9117471148279</v>
      </c>
      <c r="J26" s="152"/>
    </row>
    <row r="27" spans="2:10" ht="18" hidden="1" customHeight="1" x14ac:dyDescent="0.25">
      <c r="B27" s="13"/>
      <c r="C27" s="136"/>
      <c r="D27" s="13" t="s">
        <v>210</v>
      </c>
      <c r="E27" s="112"/>
      <c r="F27" s="111"/>
      <c r="G27" s="107"/>
      <c r="H27" s="112"/>
      <c r="I27" s="112"/>
      <c r="J27" s="152"/>
    </row>
    <row r="28" spans="2:10" ht="18" hidden="1" customHeight="1" x14ac:dyDescent="0.25">
      <c r="B28" s="13"/>
      <c r="C28" s="136"/>
      <c r="D28" s="13" t="s">
        <v>211</v>
      </c>
      <c r="E28" s="112"/>
      <c r="F28" s="111"/>
      <c r="G28" s="107"/>
      <c r="H28" s="112"/>
      <c r="I28" s="112"/>
      <c r="J28" s="152"/>
    </row>
    <row r="29" spans="2:10" ht="18" hidden="1" customHeight="1" x14ac:dyDescent="0.25">
      <c r="B29" s="13"/>
      <c r="C29" s="136"/>
      <c r="D29" s="13" t="s">
        <v>212</v>
      </c>
      <c r="E29" s="112"/>
      <c r="F29" s="111"/>
      <c r="G29" s="107"/>
      <c r="H29" s="112"/>
      <c r="I29" s="112"/>
      <c r="J29" s="152"/>
    </row>
    <row r="30" spans="2:10" ht="18" hidden="1" customHeight="1" x14ac:dyDescent="0.25">
      <c r="B30" s="13"/>
      <c r="C30" s="136" t="s">
        <v>24</v>
      </c>
      <c r="D30" s="13" t="s">
        <v>222</v>
      </c>
      <c r="E30" s="112">
        <f>E14+E26+E27+E28+E29</f>
        <v>620.66825288517202</v>
      </c>
      <c r="F30" s="111"/>
      <c r="G30" s="107"/>
      <c r="H30" s="112">
        <f>H14+H26+H27+H28+H29</f>
        <v>7680.09</v>
      </c>
      <c r="I30" s="112">
        <f>I14+I26+I27+I28+I29</f>
        <v>7059.4217471148277</v>
      </c>
      <c r="J30" s="152"/>
    </row>
    <row r="31" spans="2:10" ht="15.75" customHeight="1" x14ac:dyDescent="0.25">
      <c r="B31" s="349" t="s">
        <v>5</v>
      </c>
      <c r="C31" s="350"/>
      <c r="D31" s="350"/>
      <c r="E31" s="350"/>
      <c r="F31" s="350"/>
      <c r="G31" s="350"/>
      <c r="H31" s="350"/>
      <c r="I31" s="350"/>
      <c r="J31" s="351"/>
    </row>
    <row r="32" spans="2:10" ht="15.75" customHeight="1" x14ac:dyDescent="0.25">
      <c r="B32" s="263" t="s">
        <v>6</v>
      </c>
      <c r="C32" s="267" t="s">
        <v>199</v>
      </c>
      <c r="D32" s="262"/>
      <c r="E32" s="262"/>
      <c r="F32" s="262"/>
      <c r="G32" s="262"/>
      <c r="H32" s="262"/>
      <c r="I32" s="262"/>
      <c r="J32" s="262"/>
    </row>
    <row r="33" spans="2:10" ht="34.5" customHeight="1" x14ac:dyDescent="0.25">
      <c r="B33" s="263" t="s">
        <v>7</v>
      </c>
      <c r="C33" s="267" t="s">
        <v>142</v>
      </c>
      <c r="D33" s="263" t="s">
        <v>167</v>
      </c>
      <c r="E33" s="264">
        <v>469.08496150000002</v>
      </c>
      <c r="F33" s="267" t="s">
        <v>207</v>
      </c>
      <c r="G33" s="263" t="s">
        <v>167</v>
      </c>
      <c r="H33" s="263">
        <v>6.05</v>
      </c>
      <c r="I33" s="275">
        <f>H33-E33</f>
        <v>-463.03496150000001</v>
      </c>
      <c r="J33" s="262"/>
    </row>
    <row r="34" spans="2:10" ht="15.75" customHeight="1" x14ac:dyDescent="0.25">
      <c r="B34" s="262"/>
      <c r="C34" s="266" t="s">
        <v>24</v>
      </c>
      <c r="D34" s="262"/>
      <c r="E34" s="275">
        <f>SUM(E33)</f>
        <v>469.08496150000002</v>
      </c>
      <c r="F34" s="262"/>
      <c r="G34" s="262"/>
      <c r="H34" s="262">
        <f>SUM(H33)</f>
        <v>6.05</v>
      </c>
      <c r="I34" s="275">
        <f>SUM(I33)</f>
        <v>-463.03496150000001</v>
      </c>
      <c r="J34" s="262"/>
    </row>
    <row r="35" spans="2:10" ht="15.75" customHeight="1" x14ac:dyDescent="0.25">
      <c r="B35" s="13" t="s">
        <v>6</v>
      </c>
      <c r="C35" s="256" t="s">
        <v>199</v>
      </c>
      <c r="D35" s="360" t="s">
        <v>190</v>
      </c>
      <c r="E35" s="262"/>
      <c r="F35" s="267" t="s">
        <v>199</v>
      </c>
      <c r="G35" s="361" t="s">
        <v>190</v>
      </c>
      <c r="H35" s="273"/>
      <c r="I35" s="273"/>
      <c r="J35" s="262"/>
    </row>
    <row r="36" spans="2:10" ht="34.5" customHeight="1" x14ac:dyDescent="0.25">
      <c r="B36" s="91" t="s">
        <v>7</v>
      </c>
      <c r="C36" s="257" t="s">
        <v>142</v>
      </c>
      <c r="D36" s="360"/>
      <c r="E36" s="268">
        <v>491.2862731909658</v>
      </c>
      <c r="F36" s="262" t="s">
        <v>39</v>
      </c>
      <c r="G36" s="362"/>
      <c r="H36" s="273"/>
      <c r="I36" s="274">
        <f>H36-E36</f>
        <v>-491.2862731909658</v>
      </c>
      <c r="J36" s="262"/>
    </row>
    <row r="37" spans="2:10" ht="15.75" customHeight="1" x14ac:dyDescent="0.25">
      <c r="B37" s="91" t="s">
        <v>12</v>
      </c>
      <c r="C37" s="14" t="s">
        <v>202</v>
      </c>
      <c r="D37" s="360"/>
      <c r="E37" s="262"/>
      <c r="F37" s="14" t="s">
        <v>202</v>
      </c>
      <c r="G37" s="362"/>
      <c r="H37" s="273"/>
      <c r="I37" s="273"/>
      <c r="J37" s="262"/>
    </row>
    <row r="38" spans="2:10" ht="86.25" customHeight="1" x14ac:dyDescent="0.25">
      <c r="B38" s="91" t="s">
        <v>13</v>
      </c>
      <c r="C38" s="262"/>
      <c r="D38" s="360"/>
      <c r="E38" s="262"/>
      <c r="F38" s="133" t="s">
        <v>205</v>
      </c>
      <c r="G38" s="363"/>
      <c r="H38" s="274">
        <v>2420.0100000000002</v>
      </c>
      <c r="I38" s="274">
        <f>H38-E38</f>
        <v>2420.0100000000002</v>
      </c>
      <c r="J38" s="267" t="s">
        <v>204</v>
      </c>
    </row>
    <row r="39" spans="2:10" s="78" customFormat="1" ht="15.75" customHeight="1" x14ac:dyDescent="0.25">
      <c r="B39" s="66"/>
      <c r="C39" s="136" t="s">
        <v>24</v>
      </c>
      <c r="D39" s="66"/>
      <c r="E39" s="79">
        <f>SUM(E36:E38)</f>
        <v>491.2862731909658</v>
      </c>
      <c r="F39" s="136"/>
      <c r="G39" s="66"/>
      <c r="H39" s="112">
        <f>SUM(H36:H38)</f>
        <v>2420.0100000000002</v>
      </c>
      <c r="I39" s="112">
        <f>SUM(I36:I38)</f>
        <v>1928.7237268090344</v>
      </c>
      <c r="J39" s="79"/>
    </row>
    <row r="40" spans="2:10" s="78" customFormat="1" ht="15.75" hidden="1" customHeight="1" x14ac:dyDescent="0.25">
      <c r="B40" s="66"/>
      <c r="C40" s="136"/>
      <c r="D40" s="13" t="s">
        <v>210</v>
      </c>
      <c r="E40" s="79"/>
      <c r="F40" s="136"/>
      <c r="G40" s="66"/>
      <c r="H40" s="112"/>
      <c r="I40" s="112"/>
      <c r="J40" s="79"/>
    </row>
    <row r="41" spans="2:10" s="78" customFormat="1" ht="15.75" hidden="1" customHeight="1" x14ac:dyDescent="0.25">
      <c r="B41" s="66"/>
      <c r="C41" s="136"/>
      <c r="D41" s="13" t="s">
        <v>211</v>
      </c>
      <c r="E41" s="79"/>
      <c r="F41" s="136"/>
      <c r="G41" s="66"/>
      <c r="H41" s="112"/>
      <c r="I41" s="112"/>
      <c r="J41" s="79"/>
    </row>
    <row r="42" spans="2:10" s="78" customFormat="1" ht="15.75" hidden="1" customHeight="1" x14ac:dyDescent="0.25">
      <c r="B42" s="66"/>
      <c r="C42" s="136"/>
      <c r="D42" s="13" t="s">
        <v>212</v>
      </c>
      <c r="E42" s="79"/>
      <c r="F42" s="136"/>
      <c r="G42" s="66"/>
      <c r="H42" s="112"/>
      <c r="I42" s="112"/>
      <c r="J42" s="79"/>
    </row>
    <row r="43" spans="2:10" s="78" customFormat="1" ht="15.75" hidden="1" customHeight="1" x14ac:dyDescent="0.25">
      <c r="B43" s="66"/>
      <c r="C43" s="136" t="s">
        <v>24</v>
      </c>
      <c r="D43" s="13" t="s">
        <v>222</v>
      </c>
      <c r="E43" s="79">
        <f>SUM(E34+E39+E40+E41+E42)</f>
        <v>960.37123469096582</v>
      </c>
      <c r="F43" s="136"/>
      <c r="G43" s="66">
        <f>SUM(G34+G39+G40+G41+G42)</f>
        <v>0</v>
      </c>
      <c r="H43" s="112">
        <f>SUM(H34+H39+H40+H41+H42)</f>
        <v>2426.0600000000004</v>
      </c>
      <c r="I43" s="112">
        <f>SUM(I34+I39+I40+I41+I42)</f>
        <v>1465.6887653090344</v>
      </c>
      <c r="J43" s="79"/>
    </row>
    <row r="44" spans="2:10" ht="15.75" customHeight="1" x14ac:dyDescent="0.25">
      <c r="B44" s="349" t="s">
        <v>16</v>
      </c>
      <c r="C44" s="350"/>
      <c r="D44" s="350"/>
      <c r="E44" s="350"/>
      <c r="F44" s="350"/>
      <c r="G44" s="350"/>
      <c r="H44" s="350"/>
      <c r="I44" s="350"/>
      <c r="J44" s="351"/>
    </row>
    <row r="45" spans="2:10" ht="15.75" customHeight="1" x14ac:dyDescent="0.25">
      <c r="B45" s="263" t="s">
        <v>6</v>
      </c>
      <c r="C45" s="267" t="s">
        <v>199</v>
      </c>
      <c r="D45" s="360" t="s">
        <v>167</v>
      </c>
      <c r="E45" s="267"/>
      <c r="F45" s="267" t="s">
        <v>199</v>
      </c>
      <c r="G45" s="361" t="s">
        <v>167</v>
      </c>
      <c r="H45" s="267"/>
      <c r="I45" s="267"/>
      <c r="J45" s="267"/>
    </row>
    <row r="46" spans="2:10" ht="54.75" customHeight="1" x14ac:dyDescent="0.25">
      <c r="B46" s="278" t="s">
        <v>7</v>
      </c>
      <c r="C46" s="267" t="s">
        <v>142</v>
      </c>
      <c r="D46" s="360"/>
      <c r="E46" s="264">
        <v>726.00119600000005</v>
      </c>
      <c r="F46" s="263" t="s">
        <v>39</v>
      </c>
      <c r="G46" s="362"/>
      <c r="H46" s="264">
        <v>0</v>
      </c>
      <c r="I46" s="264">
        <f>H46-E46</f>
        <v>-726.00119600000005</v>
      </c>
      <c r="J46" s="267" t="s">
        <v>221</v>
      </c>
    </row>
    <row r="47" spans="2:10" ht="15.75" customHeight="1" x14ac:dyDescent="0.25">
      <c r="B47" s="91"/>
      <c r="C47" s="266" t="s">
        <v>24</v>
      </c>
      <c r="D47" s="267"/>
      <c r="E47" s="275">
        <f>SUM(E46:E46)</f>
        <v>726.00119600000005</v>
      </c>
      <c r="F47" s="267"/>
      <c r="G47" s="267"/>
      <c r="H47" s="273">
        <f>SUM(H46:H46)</f>
        <v>0</v>
      </c>
      <c r="I47" s="273">
        <f>SUM(I46:I46)</f>
        <v>-726.00119600000005</v>
      </c>
      <c r="J47" s="267"/>
    </row>
    <row r="48" spans="2:10" ht="15.75" customHeight="1" x14ac:dyDescent="0.25">
      <c r="B48" s="13" t="s">
        <v>6</v>
      </c>
      <c r="C48" s="256" t="s">
        <v>199</v>
      </c>
      <c r="D48" s="369" t="s">
        <v>190</v>
      </c>
      <c r="E48" s="262"/>
      <c r="F48" s="256" t="s">
        <v>199</v>
      </c>
      <c r="G48" s="352" t="s">
        <v>190</v>
      </c>
      <c r="H48" s="273"/>
      <c r="I48" s="273"/>
      <c r="J48" s="267"/>
    </row>
    <row r="49" spans="2:10" ht="54" customHeight="1" x14ac:dyDescent="0.25">
      <c r="B49" s="13" t="s">
        <v>7</v>
      </c>
      <c r="C49" s="257" t="s">
        <v>142</v>
      </c>
      <c r="D49" s="369"/>
      <c r="E49" s="139">
        <v>760.36209042916403</v>
      </c>
      <c r="F49" s="279" t="s">
        <v>39</v>
      </c>
      <c r="G49" s="354"/>
      <c r="H49" s="139">
        <v>0</v>
      </c>
      <c r="I49" s="264">
        <f t="shared" ref="I49:I50" si="2">H49-E49</f>
        <v>-760.36209042916403</v>
      </c>
      <c r="J49" s="140" t="s">
        <v>221</v>
      </c>
    </row>
    <row r="50" spans="2:10" ht="15.75" customHeight="1" x14ac:dyDescent="0.25">
      <c r="B50" s="13"/>
      <c r="C50" s="136" t="s">
        <v>24</v>
      </c>
      <c r="D50" s="258"/>
      <c r="E50" s="112">
        <f>E49</f>
        <v>760.36209042916403</v>
      </c>
      <c r="F50" s="14"/>
      <c r="G50" s="13"/>
      <c r="H50" s="112">
        <f>H49</f>
        <v>0</v>
      </c>
      <c r="I50" s="275">
        <f t="shared" si="2"/>
        <v>-760.36209042916403</v>
      </c>
      <c r="J50" s="152"/>
    </row>
    <row r="51" spans="2:10" ht="15.75" customHeight="1" x14ac:dyDescent="0.25">
      <c r="B51" s="349" t="s">
        <v>17</v>
      </c>
      <c r="C51" s="350"/>
      <c r="D51" s="350"/>
      <c r="E51" s="350"/>
      <c r="F51" s="350"/>
      <c r="G51" s="350"/>
      <c r="H51" s="350"/>
      <c r="I51" s="350"/>
      <c r="J51" s="351"/>
    </row>
    <row r="52" spans="2:10" ht="15.75" hidden="1" customHeight="1" x14ac:dyDescent="0.25">
      <c r="B52" s="263" t="s">
        <v>6</v>
      </c>
      <c r="C52" s="267" t="s">
        <v>199</v>
      </c>
      <c r="D52" s="360" t="s">
        <v>167</v>
      </c>
      <c r="E52" s="267"/>
      <c r="F52" s="267" t="s">
        <v>199</v>
      </c>
      <c r="G52" s="361" t="s">
        <v>167</v>
      </c>
      <c r="H52" s="267"/>
      <c r="I52" s="267"/>
      <c r="J52" s="267"/>
    </row>
    <row r="53" spans="2:10" ht="15.75" hidden="1" customHeight="1" x14ac:dyDescent="0.25">
      <c r="B53" s="278" t="s">
        <v>7</v>
      </c>
      <c r="C53" s="267" t="s">
        <v>142</v>
      </c>
      <c r="D53" s="360"/>
      <c r="E53" s="263">
        <v>442.88</v>
      </c>
      <c r="F53" s="267"/>
      <c r="G53" s="362"/>
      <c r="H53" s="267"/>
      <c r="I53" s="263">
        <f>H53-E53</f>
        <v>-442.88</v>
      </c>
      <c r="J53" s="267"/>
    </row>
    <row r="54" spans="2:10" ht="15.75" hidden="1" customHeight="1" x14ac:dyDescent="0.25">
      <c r="B54" s="263" t="s">
        <v>12</v>
      </c>
      <c r="C54" s="267" t="s">
        <v>202</v>
      </c>
      <c r="D54" s="360"/>
      <c r="E54" s="267"/>
      <c r="F54" s="267" t="s">
        <v>202</v>
      </c>
      <c r="G54" s="362"/>
      <c r="H54" s="267"/>
      <c r="I54" s="263"/>
      <c r="J54" s="267"/>
    </row>
    <row r="55" spans="2:10" ht="56.25" hidden="1" customHeight="1" x14ac:dyDescent="0.25">
      <c r="B55" s="91" t="s">
        <v>13</v>
      </c>
      <c r="C55" s="267"/>
      <c r="D55" s="360"/>
      <c r="E55" s="267"/>
      <c r="F55" s="267" t="s">
        <v>173</v>
      </c>
      <c r="G55" s="362"/>
      <c r="H55" s="263">
        <v>780.66</v>
      </c>
      <c r="I55" s="263">
        <f t="shared" ref="I55:I59" si="3">H55-E55</f>
        <v>780.66</v>
      </c>
      <c r="J55" s="267"/>
    </row>
    <row r="56" spans="2:10" ht="56.25" hidden="1" customHeight="1" x14ac:dyDescent="0.25">
      <c r="B56" s="91" t="s">
        <v>14</v>
      </c>
      <c r="C56" s="267"/>
      <c r="D56" s="360"/>
      <c r="E56" s="267"/>
      <c r="F56" s="267" t="s">
        <v>174</v>
      </c>
      <c r="G56" s="362"/>
      <c r="H56" s="263">
        <v>424.09</v>
      </c>
      <c r="I56" s="263">
        <f t="shared" si="3"/>
        <v>424.09</v>
      </c>
      <c r="J56" s="267"/>
    </row>
    <row r="57" spans="2:10" ht="56.25" hidden="1" customHeight="1" x14ac:dyDescent="0.25">
      <c r="B57" s="91" t="s">
        <v>208</v>
      </c>
      <c r="C57" s="267"/>
      <c r="D57" s="360"/>
      <c r="E57" s="267"/>
      <c r="F57" s="267" t="s">
        <v>175</v>
      </c>
      <c r="G57" s="362"/>
      <c r="H57" s="263">
        <v>1128.29</v>
      </c>
      <c r="I57" s="263">
        <f t="shared" si="3"/>
        <v>1128.29</v>
      </c>
      <c r="J57" s="267"/>
    </row>
    <row r="58" spans="2:10" ht="56.25" hidden="1" customHeight="1" x14ac:dyDescent="0.25">
      <c r="B58" s="91" t="s">
        <v>67</v>
      </c>
      <c r="C58" s="267"/>
      <c r="D58" s="360"/>
      <c r="E58" s="267"/>
      <c r="F58" s="267" t="s">
        <v>176</v>
      </c>
      <c r="G58" s="362"/>
      <c r="H58" s="263">
        <v>3794.38</v>
      </c>
      <c r="I58" s="263">
        <f t="shared" si="3"/>
        <v>3794.38</v>
      </c>
      <c r="J58" s="267"/>
    </row>
    <row r="59" spans="2:10" ht="56.25" hidden="1" customHeight="1" x14ac:dyDescent="0.25">
      <c r="B59" s="91" t="s">
        <v>143</v>
      </c>
      <c r="C59" s="267"/>
      <c r="D59" s="360"/>
      <c r="E59" s="267"/>
      <c r="F59" s="267" t="s">
        <v>209</v>
      </c>
      <c r="G59" s="363"/>
      <c r="H59" s="263">
        <v>298.75</v>
      </c>
      <c r="I59" s="263">
        <f t="shared" si="3"/>
        <v>298.75</v>
      </c>
      <c r="J59" s="267"/>
    </row>
    <row r="60" spans="2:10" ht="15.75" hidden="1" customHeight="1" x14ac:dyDescent="0.25">
      <c r="B60" s="91"/>
      <c r="C60" s="266" t="s">
        <v>24</v>
      </c>
      <c r="D60" s="267"/>
      <c r="E60" s="262">
        <f>SUM(E53:E59)</f>
        <v>442.88</v>
      </c>
      <c r="F60" s="267"/>
      <c r="G60" s="267"/>
      <c r="H60" s="273">
        <f>SUM(H53:H59)</f>
        <v>6426.17</v>
      </c>
      <c r="I60" s="273">
        <f>SUM(I53:I59)</f>
        <v>5983.29</v>
      </c>
      <c r="J60" s="267"/>
    </row>
    <row r="61" spans="2:10" x14ac:dyDescent="0.25">
      <c r="B61" s="13" t="s">
        <v>6</v>
      </c>
      <c r="C61" s="14" t="s">
        <v>199</v>
      </c>
      <c r="D61" s="352" t="s">
        <v>190</v>
      </c>
      <c r="E61" s="139"/>
      <c r="F61" s="149" t="s">
        <v>199</v>
      </c>
      <c r="G61" s="352" t="s">
        <v>190</v>
      </c>
      <c r="H61" s="139"/>
      <c r="I61" s="139"/>
      <c r="J61" s="348" t="s">
        <v>204</v>
      </c>
    </row>
    <row r="62" spans="2:10" ht="45" customHeight="1" x14ac:dyDescent="0.25">
      <c r="B62" s="13" t="s">
        <v>7</v>
      </c>
      <c r="C62" s="14" t="s">
        <v>142</v>
      </c>
      <c r="D62" s="353"/>
      <c r="E62" s="139">
        <v>463.84105765201502</v>
      </c>
      <c r="F62" s="149" t="s">
        <v>213</v>
      </c>
      <c r="G62" s="353"/>
      <c r="H62" s="139">
        <v>538.97</v>
      </c>
      <c r="I62" s="139">
        <f t="shared" ref="I62:I65" si="4">H62-E62</f>
        <v>75.128942347985003</v>
      </c>
      <c r="J62" s="348"/>
    </row>
    <row r="63" spans="2:10" ht="41.25" customHeight="1" x14ac:dyDescent="0.25">
      <c r="B63" s="13" t="s">
        <v>8</v>
      </c>
      <c r="C63" s="14"/>
      <c r="D63" s="353"/>
      <c r="E63" s="254"/>
      <c r="F63" s="149" t="s">
        <v>214</v>
      </c>
      <c r="G63" s="353"/>
      <c r="H63" s="139">
        <v>252.54</v>
      </c>
      <c r="I63" s="139">
        <f t="shared" si="4"/>
        <v>252.54</v>
      </c>
      <c r="J63" s="348"/>
    </row>
    <row r="64" spans="2:10" x14ac:dyDescent="0.25">
      <c r="B64" s="13" t="s">
        <v>12</v>
      </c>
      <c r="C64" s="14" t="s">
        <v>202</v>
      </c>
      <c r="D64" s="353"/>
      <c r="E64" s="254"/>
      <c r="F64" s="149" t="s">
        <v>202</v>
      </c>
      <c r="G64" s="353"/>
      <c r="H64" s="139"/>
      <c r="I64" s="139"/>
      <c r="J64" s="348"/>
    </row>
    <row r="65" spans="2:10" ht="47.25" x14ac:dyDescent="0.25">
      <c r="B65" s="13" t="s">
        <v>13</v>
      </c>
      <c r="C65" s="14"/>
      <c r="D65" s="354"/>
      <c r="E65" s="254"/>
      <c r="F65" s="149" t="s">
        <v>215</v>
      </c>
      <c r="G65" s="354"/>
      <c r="H65" s="139">
        <v>2461.56</v>
      </c>
      <c r="I65" s="139">
        <f t="shared" si="4"/>
        <v>2461.56</v>
      </c>
      <c r="J65" s="348"/>
    </row>
    <row r="66" spans="2:10" ht="15.75" customHeight="1" x14ac:dyDescent="0.25">
      <c r="B66" s="13"/>
      <c r="C66" s="136" t="s">
        <v>24</v>
      </c>
      <c r="D66" s="13"/>
      <c r="E66" s="112">
        <f>SUM(E61:E65)</f>
        <v>463.84105765201502</v>
      </c>
      <c r="F66" s="14"/>
      <c r="G66" s="13"/>
      <c r="H66" s="112">
        <f>SUM(H61:H65)</f>
        <v>3253.0699999999997</v>
      </c>
      <c r="I66" s="112">
        <f>SUM(I61:I65)</f>
        <v>2789.2289423479851</v>
      </c>
      <c r="J66" s="152"/>
    </row>
    <row r="67" spans="2:10" ht="15.75" hidden="1" customHeight="1" x14ac:dyDescent="0.25">
      <c r="B67" s="13"/>
      <c r="C67" s="136"/>
      <c r="D67" s="13" t="s">
        <v>210</v>
      </c>
      <c r="E67" s="112"/>
      <c r="F67" s="14"/>
      <c r="G67" s="13"/>
      <c r="H67" s="112"/>
      <c r="I67" s="112"/>
      <c r="J67" s="152"/>
    </row>
    <row r="68" spans="2:10" ht="15.75" hidden="1" customHeight="1" x14ac:dyDescent="0.25">
      <c r="B68" s="13"/>
      <c r="C68" s="136"/>
      <c r="D68" s="13" t="s">
        <v>211</v>
      </c>
      <c r="E68" s="112"/>
      <c r="F68" s="14"/>
      <c r="G68" s="13"/>
      <c r="H68" s="112"/>
      <c r="I68" s="112"/>
      <c r="J68" s="152"/>
    </row>
    <row r="69" spans="2:10" ht="15.75" hidden="1" customHeight="1" x14ac:dyDescent="0.25">
      <c r="B69" s="13"/>
      <c r="C69" s="136"/>
      <c r="D69" s="13" t="s">
        <v>212</v>
      </c>
      <c r="E69" s="112"/>
      <c r="F69" s="14"/>
      <c r="G69" s="13"/>
      <c r="H69" s="112"/>
      <c r="I69" s="112"/>
      <c r="J69" s="152"/>
    </row>
    <row r="70" spans="2:10" ht="15.75" hidden="1" customHeight="1" x14ac:dyDescent="0.25">
      <c r="B70" s="13"/>
      <c r="C70" s="136" t="s">
        <v>24</v>
      </c>
      <c r="D70" s="13"/>
      <c r="E70" s="112">
        <f>E60+E66+E67+E68+E69</f>
        <v>906.72105765201502</v>
      </c>
      <c r="F70" s="14"/>
      <c r="G70" s="13"/>
      <c r="H70" s="112">
        <f>H60+H66+H67+H68+H69</f>
        <v>9679.24</v>
      </c>
      <c r="I70" s="112">
        <f>I60+I66+I67+I68+I69</f>
        <v>8772.518942347986</v>
      </c>
      <c r="J70" s="152"/>
    </row>
    <row r="71" spans="2:10" ht="15.75" customHeight="1" x14ac:dyDescent="0.25">
      <c r="B71" s="349" t="s">
        <v>18</v>
      </c>
      <c r="C71" s="350"/>
      <c r="D71" s="350"/>
      <c r="E71" s="350"/>
      <c r="F71" s="350"/>
      <c r="G71" s="350"/>
      <c r="H71" s="350"/>
      <c r="I71" s="350"/>
      <c r="J71" s="351"/>
    </row>
    <row r="72" spans="2:10" ht="15.75" hidden="1" customHeight="1" x14ac:dyDescent="0.25">
      <c r="B72" s="263" t="s">
        <v>6</v>
      </c>
      <c r="C72" s="267" t="s">
        <v>199</v>
      </c>
      <c r="D72" s="361" t="s">
        <v>167</v>
      </c>
      <c r="E72" s="263"/>
      <c r="F72" s="267" t="s">
        <v>199</v>
      </c>
      <c r="G72" s="360" t="s">
        <v>167</v>
      </c>
      <c r="H72" s="263"/>
      <c r="I72" s="263"/>
      <c r="J72" s="267"/>
    </row>
    <row r="73" spans="2:10" ht="33" hidden="1" customHeight="1" x14ac:dyDescent="0.25">
      <c r="B73" s="263" t="s">
        <v>7</v>
      </c>
      <c r="C73" s="267" t="s">
        <v>142</v>
      </c>
      <c r="D73" s="362"/>
      <c r="E73" s="264">
        <v>486.52266767999998</v>
      </c>
      <c r="F73" s="263" t="s">
        <v>39</v>
      </c>
      <c r="G73" s="360"/>
      <c r="H73" s="263"/>
      <c r="I73" s="264">
        <f>H73-E73</f>
        <v>-486.52266767999998</v>
      </c>
      <c r="J73" s="267"/>
    </row>
    <row r="74" spans="2:10" ht="15.75" hidden="1" customHeight="1" x14ac:dyDescent="0.25">
      <c r="B74" s="263" t="s">
        <v>12</v>
      </c>
      <c r="C74" s="267" t="s">
        <v>202</v>
      </c>
      <c r="D74" s="362"/>
      <c r="E74" s="263"/>
      <c r="F74" s="267" t="s">
        <v>202</v>
      </c>
      <c r="G74" s="360"/>
      <c r="H74" s="263"/>
      <c r="I74" s="263"/>
      <c r="J74" s="267"/>
    </row>
    <row r="75" spans="2:10" ht="51.75" hidden="1" customHeight="1" x14ac:dyDescent="0.25">
      <c r="B75" s="263" t="s">
        <v>13</v>
      </c>
      <c r="C75" s="267"/>
      <c r="D75" s="362"/>
      <c r="E75" s="263"/>
      <c r="F75" s="267" t="s">
        <v>178</v>
      </c>
      <c r="G75" s="360"/>
      <c r="H75" s="263">
        <v>464.32</v>
      </c>
      <c r="I75" s="263">
        <f>H75-E75</f>
        <v>464.32</v>
      </c>
      <c r="J75" s="267"/>
    </row>
    <row r="76" spans="2:10" ht="49.5" hidden="1" customHeight="1" x14ac:dyDescent="0.25">
      <c r="B76" s="263" t="s">
        <v>14</v>
      </c>
      <c r="C76" s="267"/>
      <c r="D76" s="363"/>
      <c r="E76" s="263"/>
      <c r="F76" s="267" t="s">
        <v>177</v>
      </c>
      <c r="G76" s="360"/>
      <c r="H76" s="263">
        <v>1463.58</v>
      </c>
      <c r="I76" s="263">
        <f>H76-E76</f>
        <v>1463.58</v>
      </c>
      <c r="J76" s="267"/>
    </row>
    <row r="77" spans="2:10" ht="18" hidden="1" customHeight="1" x14ac:dyDescent="0.25">
      <c r="B77" s="263"/>
      <c r="C77" s="266" t="s">
        <v>24</v>
      </c>
      <c r="D77" s="263"/>
      <c r="E77" s="275">
        <f>SUM(E73:E76)</f>
        <v>486.52266767999998</v>
      </c>
      <c r="F77" s="266"/>
      <c r="G77" s="262"/>
      <c r="H77" s="275">
        <f>SUM(H73:H76)</f>
        <v>1927.8999999999999</v>
      </c>
      <c r="I77" s="275">
        <f>H77-E77</f>
        <v>1441.3773323199998</v>
      </c>
      <c r="J77" s="267"/>
    </row>
    <row r="78" spans="2:10" ht="15.75" customHeight="1" x14ac:dyDescent="0.25">
      <c r="B78" s="263" t="s">
        <v>6</v>
      </c>
      <c r="C78" s="281" t="s">
        <v>199</v>
      </c>
      <c r="D78" s="352" t="s">
        <v>190</v>
      </c>
      <c r="E78" s="269"/>
      <c r="F78" s="277" t="s">
        <v>199</v>
      </c>
      <c r="G78" s="352" t="s">
        <v>190</v>
      </c>
      <c r="H78" s="282"/>
      <c r="I78" s="282"/>
      <c r="J78" s="265"/>
    </row>
    <row r="79" spans="2:10" ht="81" customHeight="1" x14ac:dyDescent="0.25">
      <c r="B79" s="13" t="s">
        <v>7</v>
      </c>
      <c r="C79" s="14" t="s">
        <v>142</v>
      </c>
      <c r="D79" s="353"/>
      <c r="E79" s="138">
        <v>509.54899999999998</v>
      </c>
      <c r="F79" s="14" t="s">
        <v>216</v>
      </c>
      <c r="G79" s="353"/>
      <c r="H79" s="139">
        <v>29.5</v>
      </c>
      <c r="I79" s="139">
        <f>H85-E85</f>
        <v>5128.9710000000005</v>
      </c>
      <c r="J79" s="280" t="s">
        <v>186</v>
      </c>
    </row>
    <row r="80" spans="2:10" x14ac:dyDescent="0.25">
      <c r="B80" s="13" t="s">
        <v>12</v>
      </c>
      <c r="C80" s="14" t="s">
        <v>202</v>
      </c>
      <c r="D80" s="353"/>
      <c r="E80" s="138"/>
      <c r="F80" s="14" t="s">
        <v>202</v>
      </c>
      <c r="G80" s="353"/>
      <c r="H80" s="139"/>
      <c r="I80" s="254"/>
      <c r="J80" s="280"/>
    </row>
    <row r="81" spans="2:10" ht="52.5" customHeight="1" x14ac:dyDescent="0.25">
      <c r="B81" s="13" t="s">
        <v>13</v>
      </c>
      <c r="C81" s="14"/>
      <c r="D81" s="353"/>
      <c r="E81" s="138"/>
      <c r="F81" s="14" t="s">
        <v>217</v>
      </c>
      <c r="G81" s="353"/>
      <c r="H81" s="139">
        <v>1926</v>
      </c>
      <c r="I81" s="139"/>
      <c r="J81" s="355" t="s">
        <v>204</v>
      </c>
    </row>
    <row r="82" spans="2:10" ht="47.25" x14ac:dyDescent="0.25">
      <c r="B82" s="13" t="s">
        <v>14</v>
      </c>
      <c r="C82" s="14"/>
      <c r="D82" s="353"/>
      <c r="E82" s="138"/>
      <c r="F82" s="14" t="s">
        <v>218</v>
      </c>
      <c r="G82" s="353"/>
      <c r="H82" s="139">
        <v>2416.0100000000002</v>
      </c>
      <c r="I82" s="139"/>
      <c r="J82" s="356"/>
    </row>
    <row r="83" spans="2:10" ht="47.25" x14ac:dyDescent="0.25">
      <c r="B83" s="13" t="s">
        <v>208</v>
      </c>
      <c r="C83" s="14"/>
      <c r="D83" s="353"/>
      <c r="E83" s="138"/>
      <c r="F83" s="14" t="s">
        <v>219</v>
      </c>
      <c r="G83" s="353"/>
      <c r="H83" s="139">
        <v>793.01</v>
      </c>
      <c r="I83" s="139"/>
      <c r="J83" s="356"/>
    </row>
    <row r="84" spans="2:10" ht="47.25" x14ac:dyDescent="0.25">
      <c r="B84" s="13" t="s">
        <v>67</v>
      </c>
      <c r="C84" s="14"/>
      <c r="D84" s="354"/>
      <c r="E84" s="138"/>
      <c r="F84" s="14" t="s">
        <v>220</v>
      </c>
      <c r="G84" s="354"/>
      <c r="H84" s="139">
        <v>474</v>
      </c>
      <c r="I84" s="139"/>
      <c r="J84" s="357"/>
    </row>
    <row r="85" spans="2:10" ht="15.75" customHeight="1" x14ac:dyDescent="0.25">
      <c r="B85" s="13"/>
      <c r="C85" s="136" t="s">
        <v>24</v>
      </c>
      <c r="D85" s="13"/>
      <c r="E85" s="250">
        <f>SUM(E79:E84)</f>
        <v>509.54899999999998</v>
      </c>
      <c r="F85" s="14"/>
      <c r="G85" s="13"/>
      <c r="H85" s="112">
        <f>SUM(H79:H84)</f>
        <v>5638.52</v>
      </c>
      <c r="I85" s="112">
        <f>SUM(I79:I84)</f>
        <v>5128.9710000000005</v>
      </c>
      <c r="J85" s="152"/>
    </row>
    <row r="86" spans="2:10" ht="15.75" hidden="1" customHeight="1" x14ac:dyDescent="0.25">
      <c r="B86" s="13"/>
      <c r="C86" s="136"/>
      <c r="D86" s="13" t="s">
        <v>210</v>
      </c>
      <c r="E86" s="250"/>
      <c r="F86" s="14"/>
      <c r="G86" s="13" t="str">
        <f>D86</f>
        <v>2026 год</v>
      </c>
      <c r="H86" s="112"/>
      <c r="I86" s="112"/>
      <c r="J86" s="152"/>
    </row>
    <row r="87" spans="2:10" ht="15.75" hidden="1" customHeight="1" x14ac:dyDescent="0.25">
      <c r="B87" s="13"/>
      <c r="C87" s="136"/>
      <c r="D87" s="13" t="s">
        <v>211</v>
      </c>
      <c r="E87" s="250"/>
      <c r="F87" s="14"/>
      <c r="G87" s="13" t="str">
        <f>D87</f>
        <v>2027 год</v>
      </c>
      <c r="H87" s="112"/>
      <c r="I87" s="112"/>
      <c r="J87" s="152"/>
    </row>
    <row r="88" spans="2:10" ht="15.75" hidden="1" customHeight="1" x14ac:dyDescent="0.25">
      <c r="B88" s="13"/>
      <c r="C88" s="136"/>
      <c r="D88" s="13" t="s">
        <v>212</v>
      </c>
      <c r="E88" s="250"/>
      <c r="F88" s="14"/>
      <c r="G88" s="13" t="str">
        <f>D88</f>
        <v>2028 год</v>
      </c>
      <c r="H88" s="112"/>
      <c r="I88" s="112"/>
      <c r="J88" s="152"/>
    </row>
    <row r="89" spans="2:10" ht="15.75" hidden="1" customHeight="1" x14ac:dyDescent="0.25">
      <c r="B89" s="13"/>
      <c r="C89" s="136" t="s">
        <v>24</v>
      </c>
      <c r="D89" s="13" t="s">
        <v>222</v>
      </c>
      <c r="E89" s="250">
        <f>E79+E85+E86+E87+E88</f>
        <v>1019.098</v>
      </c>
      <c r="F89" s="14"/>
      <c r="G89" s="13"/>
      <c r="H89" s="112">
        <f>H79+H85+H86+H87+H88</f>
        <v>5668.02</v>
      </c>
      <c r="I89" s="112">
        <f>I79+I85+I86+I87+I88</f>
        <v>10257.942000000001</v>
      </c>
      <c r="J89" s="152"/>
    </row>
    <row r="90" spans="2:10" ht="15.75" customHeight="1" x14ac:dyDescent="0.25">
      <c r="B90" s="349" t="s">
        <v>19</v>
      </c>
      <c r="C90" s="350"/>
      <c r="D90" s="350"/>
      <c r="E90" s="350"/>
      <c r="F90" s="350"/>
      <c r="G90" s="350"/>
      <c r="H90" s="350"/>
      <c r="I90" s="350"/>
      <c r="J90" s="351"/>
    </row>
    <row r="91" spans="2:10" hidden="1" x14ac:dyDescent="0.25">
      <c r="B91" s="13" t="s">
        <v>6</v>
      </c>
      <c r="C91" s="14" t="s">
        <v>199</v>
      </c>
      <c r="D91" s="352" t="s">
        <v>167</v>
      </c>
      <c r="E91" s="152"/>
      <c r="F91" s="14" t="s">
        <v>199</v>
      </c>
      <c r="G91" s="352" t="s">
        <v>167</v>
      </c>
      <c r="H91" s="150"/>
      <c r="I91" s="152"/>
      <c r="J91" s="140"/>
    </row>
    <row r="92" spans="2:10" ht="31.5" hidden="1" x14ac:dyDescent="0.25">
      <c r="B92" s="13" t="s">
        <v>7</v>
      </c>
      <c r="C92" s="14" t="s">
        <v>142</v>
      </c>
      <c r="D92" s="353"/>
      <c r="E92" s="152">
        <v>852.20833000000005</v>
      </c>
      <c r="F92" s="14" t="s">
        <v>179</v>
      </c>
      <c r="G92" s="353"/>
      <c r="H92" s="150">
        <v>261.10000000000002</v>
      </c>
      <c r="I92" s="152">
        <f>H92-E92</f>
        <v>-591.10833000000002</v>
      </c>
      <c r="J92" s="140"/>
    </row>
    <row r="93" spans="2:10" ht="35.25" hidden="1" customHeight="1" x14ac:dyDescent="0.25">
      <c r="B93" s="13" t="s">
        <v>8</v>
      </c>
      <c r="C93" s="14"/>
      <c r="D93" s="354"/>
      <c r="E93" s="152"/>
      <c r="F93" s="14" t="s">
        <v>180</v>
      </c>
      <c r="G93" s="354"/>
      <c r="H93" s="150">
        <v>1745.14</v>
      </c>
      <c r="I93" s="152">
        <f>H93-E93</f>
        <v>1745.14</v>
      </c>
      <c r="J93" s="140"/>
    </row>
    <row r="94" spans="2:10" hidden="1" x14ac:dyDescent="0.25">
      <c r="B94" s="13"/>
      <c r="C94" s="92" t="s">
        <v>24</v>
      </c>
      <c r="D94" s="66"/>
      <c r="E94" s="79">
        <f>SUM(E92:E93)</f>
        <v>852.20833000000005</v>
      </c>
      <c r="F94" s="14"/>
      <c r="G94" s="13"/>
      <c r="H94" s="107">
        <f>SUM(H92:H93)</f>
        <v>2006.2400000000002</v>
      </c>
      <c r="I94" s="79">
        <f>SUM(I92:I93)</f>
        <v>1154.0316700000001</v>
      </c>
      <c r="J94" s="140"/>
    </row>
    <row r="95" spans="2:10" x14ac:dyDescent="0.25">
      <c r="B95" s="263" t="s">
        <v>6</v>
      </c>
      <c r="C95" s="277" t="s">
        <v>199</v>
      </c>
      <c r="D95" s="361" t="s">
        <v>190</v>
      </c>
      <c r="E95" s="265"/>
      <c r="F95" s="277" t="s">
        <v>199</v>
      </c>
      <c r="G95" s="361" t="s">
        <v>190</v>
      </c>
      <c r="H95" s="283"/>
      <c r="I95" s="265"/>
      <c r="J95" s="284"/>
    </row>
    <row r="96" spans="2:10" ht="84.75" customHeight="1" x14ac:dyDescent="0.25">
      <c r="B96" s="263" t="s">
        <v>7</v>
      </c>
      <c r="C96" s="277" t="s">
        <v>142</v>
      </c>
      <c r="D96" s="362"/>
      <c r="E96" s="264">
        <v>537.87370599000701</v>
      </c>
      <c r="F96" s="277" t="s">
        <v>223</v>
      </c>
      <c r="G96" s="362"/>
      <c r="H96" s="274">
        <v>7.45</v>
      </c>
      <c r="I96" s="274">
        <f>H96-E96</f>
        <v>-530.42370599000697</v>
      </c>
      <c r="J96" s="289" t="s">
        <v>204</v>
      </c>
    </row>
    <row r="97" spans="2:10" ht="19.5" customHeight="1" x14ac:dyDescent="0.25">
      <c r="B97" s="263" t="s">
        <v>12</v>
      </c>
      <c r="C97" s="277" t="s">
        <v>202</v>
      </c>
      <c r="D97" s="362"/>
      <c r="E97" s="285"/>
      <c r="F97" s="277" t="s">
        <v>202</v>
      </c>
      <c r="G97" s="362"/>
      <c r="H97" s="274"/>
      <c r="I97" s="286"/>
      <c r="J97" s="289"/>
    </row>
    <row r="98" spans="2:10" ht="51" customHeight="1" x14ac:dyDescent="0.25">
      <c r="B98" s="263" t="s">
        <v>13</v>
      </c>
      <c r="C98" s="277"/>
      <c r="D98" s="362"/>
      <c r="E98" s="285"/>
      <c r="F98" s="277" t="s">
        <v>224</v>
      </c>
      <c r="G98" s="362"/>
      <c r="H98" s="274">
        <v>556.6</v>
      </c>
      <c r="I98" s="274">
        <f>H98-E98</f>
        <v>556.6</v>
      </c>
      <c r="J98" s="384" t="s">
        <v>204</v>
      </c>
    </row>
    <row r="99" spans="2:10" ht="50.25" customHeight="1" x14ac:dyDescent="0.25">
      <c r="B99" s="263" t="s">
        <v>14</v>
      </c>
      <c r="C99" s="277"/>
      <c r="D99" s="362"/>
      <c r="E99" s="285"/>
      <c r="F99" s="277" t="s">
        <v>225</v>
      </c>
      <c r="G99" s="362"/>
      <c r="H99" s="274">
        <v>386.65</v>
      </c>
      <c r="I99" s="274">
        <f>H99-E99</f>
        <v>386.65</v>
      </c>
      <c r="J99" s="385"/>
    </row>
    <row r="100" spans="2:10" ht="45" customHeight="1" x14ac:dyDescent="0.25">
      <c r="B100" s="263" t="s">
        <v>208</v>
      </c>
      <c r="C100" s="277"/>
      <c r="D100" s="362"/>
      <c r="E100" s="285"/>
      <c r="F100" s="277" t="s">
        <v>226</v>
      </c>
      <c r="G100" s="362"/>
      <c r="H100" s="274">
        <v>1782.8</v>
      </c>
      <c r="I100" s="274">
        <f>H100-E100</f>
        <v>1782.8</v>
      </c>
      <c r="J100" s="386"/>
    </row>
    <row r="101" spans="2:10" x14ac:dyDescent="0.25">
      <c r="B101" s="263"/>
      <c r="C101" s="287" t="s">
        <v>24</v>
      </c>
      <c r="D101" s="262"/>
      <c r="E101" s="275">
        <f>SUM(E96:E100)</f>
        <v>537.87370599000701</v>
      </c>
      <c r="F101" s="277"/>
      <c r="G101" s="263"/>
      <c r="H101" s="273">
        <f>SUM(H96:H100)</f>
        <v>2733.5</v>
      </c>
      <c r="I101" s="273">
        <f>H101-E101</f>
        <v>2195.6262940099932</v>
      </c>
      <c r="J101" s="265"/>
    </row>
    <row r="102" spans="2:10" hidden="1" x14ac:dyDescent="0.25">
      <c r="B102" s="263"/>
      <c r="C102" s="287"/>
      <c r="D102" s="263" t="s">
        <v>210</v>
      </c>
      <c r="E102" s="275"/>
      <c r="F102" s="277"/>
      <c r="G102" s="263"/>
      <c r="H102" s="273"/>
      <c r="I102" s="273"/>
      <c r="J102" s="265"/>
    </row>
    <row r="103" spans="2:10" hidden="1" x14ac:dyDescent="0.25">
      <c r="B103" s="263"/>
      <c r="C103" s="287"/>
      <c r="D103" s="263" t="s">
        <v>211</v>
      </c>
      <c r="E103" s="275"/>
      <c r="F103" s="277"/>
      <c r="G103" s="263"/>
      <c r="H103" s="273"/>
      <c r="I103" s="273"/>
      <c r="J103" s="265"/>
    </row>
    <row r="104" spans="2:10" hidden="1" x14ac:dyDescent="0.25">
      <c r="B104" s="263"/>
      <c r="C104" s="287"/>
      <c r="D104" s="263" t="s">
        <v>212</v>
      </c>
      <c r="E104" s="275"/>
      <c r="F104" s="277"/>
      <c r="G104" s="263"/>
      <c r="H104" s="273"/>
      <c r="I104" s="273"/>
      <c r="J104" s="265"/>
    </row>
    <row r="105" spans="2:10" ht="16.5" hidden="1" customHeight="1" x14ac:dyDescent="0.25">
      <c r="B105" s="276"/>
      <c r="C105" s="276" t="s">
        <v>24</v>
      </c>
      <c r="D105" s="263" t="s">
        <v>222</v>
      </c>
      <c r="E105" s="273">
        <f>E94+E101+E102+E103+E104</f>
        <v>1390.0820359900072</v>
      </c>
      <c r="F105" s="288"/>
      <c r="G105" s="288"/>
      <c r="H105" s="273">
        <f>H94+H101+H102+H103+H104</f>
        <v>4739.74</v>
      </c>
      <c r="I105" s="273">
        <f>I94+I101+I102+I103+I104</f>
        <v>3349.6579640099935</v>
      </c>
      <c r="J105" s="288"/>
    </row>
    <row r="106" spans="2:10" ht="16.5" customHeight="1" x14ac:dyDescent="0.25">
      <c r="B106" s="276"/>
      <c r="C106" s="276" t="s">
        <v>227</v>
      </c>
      <c r="D106" s="263"/>
      <c r="E106" s="273">
        <f>E26+E39+E50+E66+E85+E101</f>
        <v>3080.4203801473241</v>
      </c>
      <c r="F106" s="288"/>
      <c r="G106" s="288"/>
      <c r="H106" s="273">
        <f>H26+H39+H50+H66+H85+H101</f>
        <v>17863.52</v>
      </c>
      <c r="I106" s="273">
        <f>I26+I39+I50+I66+I85+I101</f>
        <v>14783.099619852677</v>
      </c>
      <c r="J106" s="288"/>
    </row>
    <row r="107" spans="2:10" ht="15" customHeight="1" x14ac:dyDescent="0.25">
      <c r="B107" s="67"/>
      <c r="C107" s="68"/>
      <c r="D107" s="67"/>
      <c r="E107" s="67"/>
      <c r="J107" s="141"/>
    </row>
    <row r="108" spans="2:10" ht="16.5" customHeight="1" x14ac:dyDescent="0.25">
      <c r="B108" s="375" t="s">
        <v>144</v>
      </c>
      <c r="C108" s="375"/>
      <c r="D108" s="375"/>
      <c r="E108" s="375"/>
      <c r="J108" s="141"/>
    </row>
    <row r="109" spans="2:10" ht="16.5" customHeight="1" x14ac:dyDescent="0.25">
      <c r="B109" s="352" t="s">
        <v>21</v>
      </c>
      <c r="C109" s="372" t="s">
        <v>148</v>
      </c>
      <c r="D109" s="373"/>
      <c r="E109" s="373"/>
      <c r="F109" s="372" t="s">
        <v>128</v>
      </c>
      <c r="G109" s="373"/>
      <c r="H109" s="374"/>
      <c r="I109" s="369" t="s">
        <v>149</v>
      </c>
      <c r="J109" s="376" t="s">
        <v>150</v>
      </c>
    </row>
    <row r="110" spans="2:10" ht="87.75" customHeight="1" x14ac:dyDescent="0.25">
      <c r="B110" s="354"/>
      <c r="C110" s="135" t="s">
        <v>22</v>
      </c>
      <c r="D110" s="13" t="s">
        <v>1</v>
      </c>
      <c r="E110" s="13" t="s">
        <v>23</v>
      </c>
      <c r="F110" s="13" t="s">
        <v>22</v>
      </c>
      <c r="G110" s="13" t="s">
        <v>1</v>
      </c>
      <c r="H110" s="13" t="s">
        <v>23</v>
      </c>
      <c r="I110" s="369"/>
      <c r="J110" s="377"/>
    </row>
    <row r="111" spans="2:10" x14ac:dyDescent="0.25">
      <c r="B111" s="13">
        <v>1</v>
      </c>
      <c r="C111" s="13">
        <v>2</v>
      </c>
      <c r="D111" s="13">
        <v>3</v>
      </c>
      <c r="E111" s="134">
        <v>4</v>
      </c>
      <c r="F111" s="13">
        <v>5</v>
      </c>
      <c r="G111" s="13">
        <v>6</v>
      </c>
      <c r="H111" s="13">
        <v>7</v>
      </c>
      <c r="I111" s="13">
        <v>8</v>
      </c>
      <c r="J111" s="13">
        <v>9</v>
      </c>
    </row>
    <row r="112" spans="2:10" x14ac:dyDescent="0.25">
      <c r="B112" s="142" t="s">
        <v>6</v>
      </c>
      <c r="C112" s="143"/>
      <c r="D112" s="142"/>
      <c r="E112" s="134"/>
      <c r="F112" s="144"/>
      <c r="G112" s="144"/>
      <c r="H112" s="144"/>
      <c r="I112" s="144"/>
      <c r="J112" s="144"/>
    </row>
    <row r="113" spans="2:10" x14ac:dyDescent="0.25">
      <c r="B113" s="381" t="s">
        <v>24</v>
      </c>
      <c r="C113" s="382"/>
      <c r="D113" s="382"/>
      <c r="E113" s="382"/>
      <c r="F113" s="144"/>
      <c r="G113" s="144"/>
      <c r="H113" s="144"/>
      <c r="I113" s="144"/>
      <c r="J113" s="144"/>
    </row>
    <row r="114" spans="2:10" ht="33.75" customHeight="1" x14ac:dyDescent="0.25">
      <c r="B114" s="379" t="s">
        <v>45</v>
      </c>
      <c r="C114" s="379"/>
      <c r="D114" s="379"/>
      <c r="E114" s="379"/>
      <c r="F114" s="379"/>
      <c r="G114" s="379"/>
      <c r="H114" s="379"/>
      <c r="I114" s="379"/>
      <c r="J114" s="380"/>
    </row>
    <row r="115" spans="2:10" x14ac:dyDescent="0.25">
      <c r="B115" s="145"/>
      <c r="C115" s="145"/>
      <c r="D115" s="145"/>
      <c r="E115" s="145"/>
      <c r="J115" s="141"/>
    </row>
    <row r="116" spans="2:10" ht="22.5" customHeight="1" x14ac:dyDescent="0.25">
      <c r="B116" s="368" t="s">
        <v>145</v>
      </c>
      <c r="C116" s="368"/>
      <c r="D116" s="368"/>
      <c r="E116" s="368"/>
      <c r="F116" s="368"/>
      <c r="G116" s="368"/>
      <c r="H116" s="368"/>
      <c r="I116" s="368"/>
      <c r="J116" s="378"/>
    </row>
    <row r="117" spans="2:10" ht="18.75" customHeight="1" x14ac:dyDescent="0.25">
      <c r="B117" s="352" t="s">
        <v>21</v>
      </c>
      <c r="C117" s="372" t="s">
        <v>148</v>
      </c>
      <c r="D117" s="373"/>
      <c r="E117" s="373"/>
      <c r="F117" s="372" t="s">
        <v>128</v>
      </c>
      <c r="G117" s="373"/>
      <c r="H117" s="374"/>
      <c r="I117" s="369" t="s">
        <v>149</v>
      </c>
      <c r="J117" s="376" t="s">
        <v>150</v>
      </c>
    </row>
    <row r="118" spans="2:10" ht="85.5" customHeight="1" x14ac:dyDescent="0.25">
      <c r="B118" s="354"/>
      <c r="C118" s="135" t="s">
        <v>22</v>
      </c>
      <c r="D118" s="13" t="s">
        <v>1</v>
      </c>
      <c r="E118" s="13" t="s">
        <v>23</v>
      </c>
      <c r="F118" s="13" t="s">
        <v>22</v>
      </c>
      <c r="G118" s="13" t="s">
        <v>1</v>
      </c>
      <c r="H118" s="13" t="s">
        <v>23</v>
      </c>
      <c r="I118" s="369"/>
      <c r="J118" s="377"/>
    </row>
    <row r="119" spans="2:10" x14ac:dyDescent="0.25">
      <c r="B119" s="13">
        <v>1</v>
      </c>
      <c r="C119" s="13">
        <v>2</v>
      </c>
      <c r="D119" s="13">
        <v>3</v>
      </c>
      <c r="E119" s="134">
        <v>4</v>
      </c>
      <c r="F119" s="13">
        <v>5</v>
      </c>
      <c r="G119" s="13">
        <v>6</v>
      </c>
      <c r="H119" s="13">
        <v>7</v>
      </c>
      <c r="I119" s="13">
        <v>8</v>
      </c>
      <c r="J119" s="13">
        <v>9</v>
      </c>
    </row>
    <row r="120" spans="2:10" x14ac:dyDescent="0.25">
      <c r="B120" s="142" t="s">
        <v>6</v>
      </c>
      <c r="C120" s="143"/>
      <c r="D120" s="142"/>
      <c r="E120" s="134"/>
      <c r="F120" s="144"/>
      <c r="G120" s="144"/>
      <c r="H120" s="144"/>
      <c r="I120" s="144"/>
      <c r="J120" s="144"/>
    </row>
    <row r="121" spans="2:10" x14ac:dyDescent="0.25">
      <c r="B121" s="381" t="s">
        <v>24</v>
      </c>
      <c r="C121" s="382"/>
      <c r="D121" s="382"/>
      <c r="E121" s="382"/>
      <c r="F121" s="144"/>
      <c r="G121" s="144"/>
      <c r="H121" s="144"/>
      <c r="I121" s="144"/>
      <c r="J121" s="144"/>
    </row>
    <row r="122" spans="2:10" ht="34.5" customHeight="1" x14ac:dyDescent="0.25">
      <c r="B122" s="379" t="s">
        <v>47</v>
      </c>
      <c r="C122" s="379"/>
      <c r="D122" s="379"/>
      <c r="E122" s="379"/>
      <c r="F122" s="379"/>
      <c r="G122" s="379"/>
      <c r="H122" s="379"/>
      <c r="I122" s="379"/>
      <c r="J122" s="379"/>
    </row>
    <row r="123" spans="2:10" ht="15" customHeight="1" x14ac:dyDescent="0.25">
      <c r="B123" s="67"/>
      <c r="C123" s="68"/>
      <c r="D123" s="67"/>
      <c r="E123" s="67"/>
    </row>
  </sheetData>
  <mergeCells count="56">
    <mergeCell ref="D95:D100"/>
    <mergeCell ref="G95:G100"/>
    <mergeCell ref="J98:J100"/>
    <mergeCell ref="J81:J84"/>
    <mergeCell ref="D72:D76"/>
    <mergeCell ref="G72:G76"/>
    <mergeCell ref="D78:D84"/>
    <mergeCell ref="G78:G84"/>
    <mergeCell ref="D91:D93"/>
    <mergeCell ref="G91:G93"/>
    <mergeCell ref="B90:J90"/>
    <mergeCell ref="D7:D13"/>
    <mergeCell ref="G7:G13"/>
    <mergeCell ref="G45:G46"/>
    <mergeCell ref="D45:D46"/>
    <mergeCell ref="D48:D49"/>
    <mergeCell ref="G48:G49"/>
    <mergeCell ref="B122:J122"/>
    <mergeCell ref="B114:J114"/>
    <mergeCell ref="B121:E121"/>
    <mergeCell ref="F117:H117"/>
    <mergeCell ref="B113:E113"/>
    <mergeCell ref="C109:E109"/>
    <mergeCell ref="F109:H109"/>
    <mergeCell ref="B109:B110"/>
    <mergeCell ref="B108:E108"/>
    <mergeCell ref="J117:J118"/>
    <mergeCell ref="B117:B118"/>
    <mergeCell ref="C117:E117"/>
    <mergeCell ref="B116:J116"/>
    <mergeCell ref="I117:I118"/>
    <mergeCell ref="J109:J110"/>
    <mergeCell ref="I109:I110"/>
    <mergeCell ref="B1:J1"/>
    <mergeCell ref="B2:J2"/>
    <mergeCell ref="B3:B4"/>
    <mergeCell ref="C3:E3"/>
    <mergeCell ref="F3:H3"/>
    <mergeCell ref="I3:I4"/>
    <mergeCell ref="J3:J4"/>
    <mergeCell ref="J61:J65"/>
    <mergeCell ref="B51:J51"/>
    <mergeCell ref="B71:J71"/>
    <mergeCell ref="D61:D65"/>
    <mergeCell ref="B6:J6"/>
    <mergeCell ref="B31:J31"/>
    <mergeCell ref="B44:J44"/>
    <mergeCell ref="J16:J23"/>
    <mergeCell ref="B14:C14"/>
    <mergeCell ref="D52:D59"/>
    <mergeCell ref="G52:G59"/>
    <mergeCell ref="G61:G65"/>
    <mergeCell ref="D15:D25"/>
    <mergeCell ref="G15:G25"/>
    <mergeCell ref="D35:D38"/>
    <mergeCell ref="G35:G38"/>
  </mergeCells>
  <phoneticPr fontId="3" type="noConversion"/>
  <printOptions horizontalCentered="1"/>
  <pageMargins left="0.39370078740157483" right="0.39370078740157483" top="0.94488188976377963" bottom="0.39370078740157483" header="0" footer="0"/>
  <pageSetup paperSize="9" scale="61" fitToHeight="3" orientation="landscape" r:id="rId1"/>
  <headerFooter alignWithMargins="0"/>
  <rowBreaks count="2" manualBreakCount="2">
    <brk id="63" max="9" man="1"/>
    <brk id="107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P12"/>
  <sheetViews>
    <sheetView topLeftCell="B1" workbookViewId="0">
      <selection activeCell="F24" sqref="F24"/>
    </sheetView>
  </sheetViews>
  <sheetFormatPr defaultRowHeight="15.75" x14ac:dyDescent="0.25"/>
  <cols>
    <col min="1" max="1" width="3.7109375" style="65" hidden="1" customWidth="1"/>
    <col min="2" max="2" width="6" style="65" customWidth="1"/>
    <col min="3" max="3" width="22.140625" style="65" customWidth="1"/>
    <col min="4" max="4" width="15.28515625" style="65" customWidth="1"/>
    <col min="5" max="5" width="12" style="65" hidden="1" customWidth="1"/>
    <col min="6" max="6" width="12" style="65" customWidth="1"/>
    <col min="7" max="9" width="12" style="65" hidden="1" customWidth="1"/>
    <col min="10" max="10" width="21.5703125" style="65" customWidth="1"/>
    <col min="11" max="11" width="13.28515625" style="65" customWidth="1"/>
    <col min="12" max="12" width="11.42578125" style="65" hidden="1" customWidth="1"/>
    <col min="13" max="13" width="12" style="65" customWidth="1"/>
    <col min="14" max="14" width="9.140625" style="65" hidden="1" customWidth="1"/>
    <col min="15" max="15" width="10.7109375" style="65" hidden="1" customWidth="1"/>
    <col min="16" max="16" width="9.140625" style="65" hidden="1" customWidth="1"/>
    <col min="17" max="16384" width="9.140625" style="65"/>
  </cols>
  <sheetData>
    <row r="1" spans="2:16" ht="33.75" customHeight="1" x14ac:dyDescent="0.25">
      <c r="B1" s="387" t="s">
        <v>146</v>
      </c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</row>
    <row r="2" spans="2:16" ht="15" customHeight="1" x14ac:dyDescent="0.25">
      <c r="B2" s="352" t="s">
        <v>147</v>
      </c>
      <c r="C2" s="372" t="s">
        <v>148</v>
      </c>
      <c r="D2" s="373"/>
      <c r="E2" s="373"/>
      <c r="F2" s="373"/>
      <c r="G2" s="373"/>
      <c r="H2" s="373"/>
      <c r="I2" s="374"/>
      <c r="J2" s="372" t="s">
        <v>128</v>
      </c>
      <c r="K2" s="373"/>
      <c r="L2" s="373"/>
      <c r="M2" s="373"/>
      <c r="N2" s="373"/>
      <c r="O2" s="373"/>
      <c r="P2" s="374"/>
    </row>
    <row r="3" spans="2:16" ht="30.75" customHeight="1" x14ac:dyDescent="0.25">
      <c r="B3" s="353"/>
      <c r="C3" s="376" t="s">
        <v>2</v>
      </c>
      <c r="D3" s="352" t="s">
        <v>26</v>
      </c>
      <c r="E3" s="388" t="s">
        <v>27</v>
      </c>
      <c r="F3" s="389"/>
      <c r="G3" s="389"/>
      <c r="H3" s="389"/>
      <c r="I3" s="390"/>
      <c r="J3" s="352" t="s">
        <v>2</v>
      </c>
      <c r="K3" s="352" t="s">
        <v>26</v>
      </c>
      <c r="L3" s="388" t="s">
        <v>27</v>
      </c>
      <c r="M3" s="389"/>
      <c r="N3" s="389"/>
      <c r="O3" s="389"/>
      <c r="P3" s="390"/>
    </row>
    <row r="4" spans="2:16" ht="21" customHeight="1" x14ac:dyDescent="0.25">
      <c r="B4" s="354"/>
      <c r="C4" s="377"/>
      <c r="D4" s="354"/>
      <c r="E4" s="13" t="s">
        <v>167</v>
      </c>
      <c r="F4" s="13" t="s">
        <v>190</v>
      </c>
      <c r="G4" s="13" t="s">
        <v>210</v>
      </c>
      <c r="H4" s="13" t="s">
        <v>211</v>
      </c>
      <c r="I4" s="13" t="s">
        <v>212</v>
      </c>
      <c r="J4" s="354"/>
      <c r="K4" s="354"/>
      <c r="L4" s="69" t="s">
        <v>167</v>
      </c>
      <c r="M4" s="69" t="s">
        <v>190</v>
      </c>
      <c r="N4" s="69" t="s">
        <v>210</v>
      </c>
      <c r="O4" s="245" t="s">
        <v>211</v>
      </c>
      <c r="P4" s="69" t="s">
        <v>212</v>
      </c>
    </row>
    <row r="5" spans="2:16" x14ac:dyDescent="0.25">
      <c r="B5" s="13">
        <v>1</v>
      </c>
      <c r="C5" s="13">
        <v>2</v>
      </c>
      <c r="D5" s="13">
        <v>3</v>
      </c>
      <c r="E5" s="13"/>
      <c r="F5" s="13">
        <v>4</v>
      </c>
      <c r="G5" s="13"/>
      <c r="H5" s="13"/>
      <c r="I5" s="13"/>
      <c r="J5" s="13">
        <v>5</v>
      </c>
      <c r="K5" s="13">
        <v>6</v>
      </c>
      <c r="L5" s="13"/>
      <c r="M5" s="13">
        <v>7</v>
      </c>
      <c r="N5" s="13"/>
      <c r="O5" s="148"/>
      <c r="P5" s="13"/>
    </row>
    <row r="6" spans="2:16" x14ac:dyDescent="0.25">
      <c r="B6" s="70" t="s">
        <v>6</v>
      </c>
      <c r="C6" s="71" t="s">
        <v>15</v>
      </c>
      <c r="D6" s="72" t="s">
        <v>3</v>
      </c>
      <c r="E6" s="87">
        <v>108396.36740670227</v>
      </c>
      <c r="F6" s="87">
        <v>108694.98642910758</v>
      </c>
      <c r="G6" s="73"/>
      <c r="H6" s="73"/>
      <c r="I6" s="73"/>
      <c r="J6" s="71" t="s">
        <v>15</v>
      </c>
      <c r="K6" s="72" t="s">
        <v>3</v>
      </c>
      <c r="L6" s="290">
        <v>99858.697201697069</v>
      </c>
      <c r="M6" s="299">
        <v>92989.296999999991</v>
      </c>
      <c r="N6" s="291"/>
      <c r="O6" s="292"/>
      <c r="P6" s="291"/>
    </row>
    <row r="7" spans="2:16" x14ac:dyDescent="0.25">
      <c r="B7" s="70" t="s">
        <v>12</v>
      </c>
      <c r="C7" s="71" t="s">
        <v>5</v>
      </c>
      <c r="D7" s="72" t="s">
        <v>3</v>
      </c>
      <c r="E7" s="87">
        <v>18514.900765214821</v>
      </c>
      <c r="F7" s="87">
        <v>22107.326312390724</v>
      </c>
      <c r="G7" s="73"/>
      <c r="H7" s="73"/>
      <c r="I7" s="73"/>
      <c r="J7" s="71" t="s">
        <v>5</v>
      </c>
      <c r="K7" s="72" t="s">
        <v>3</v>
      </c>
      <c r="L7" s="293">
        <v>22250.20073</v>
      </c>
      <c r="M7" s="300">
        <v>17659.76283</v>
      </c>
      <c r="N7" s="294"/>
      <c r="O7" s="295"/>
      <c r="P7" s="294"/>
    </row>
    <row r="8" spans="2:16" x14ac:dyDescent="0.25">
      <c r="B8" s="70" t="s">
        <v>20</v>
      </c>
      <c r="C8" s="71" t="s">
        <v>16</v>
      </c>
      <c r="D8" s="72" t="s">
        <v>3</v>
      </c>
      <c r="E8" s="87">
        <v>21492.399302794343</v>
      </c>
      <c r="F8" s="87">
        <v>21609.11705130637</v>
      </c>
      <c r="G8" s="73"/>
      <c r="H8" s="73"/>
      <c r="I8" s="73"/>
      <c r="J8" s="71" t="s">
        <v>16</v>
      </c>
      <c r="K8" s="72" t="s">
        <v>3</v>
      </c>
      <c r="L8" s="293">
        <v>19573.254692877315</v>
      </c>
      <c r="M8" s="300">
        <v>12877.30343</v>
      </c>
      <c r="N8" s="294"/>
      <c r="O8" s="295"/>
      <c r="P8" s="294"/>
    </row>
    <row r="9" spans="2:16" x14ac:dyDescent="0.25">
      <c r="B9" s="70" t="s">
        <v>41</v>
      </c>
      <c r="C9" s="71" t="s">
        <v>17</v>
      </c>
      <c r="D9" s="72" t="s">
        <v>3</v>
      </c>
      <c r="E9" s="87">
        <v>16197.406918596236</v>
      </c>
      <c r="F9" s="87">
        <v>16901.211450001443</v>
      </c>
      <c r="G9" s="73"/>
      <c r="H9" s="73"/>
      <c r="I9" s="73"/>
      <c r="J9" s="71" t="s">
        <v>17</v>
      </c>
      <c r="K9" s="72" t="s">
        <v>3</v>
      </c>
      <c r="L9" s="293">
        <v>15308.46631</v>
      </c>
      <c r="M9" s="300">
        <v>9787.43</v>
      </c>
      <c r="N9" s="294"/>
      <c r="O9" s="295"/>
      <c r="P9" s="294"/>
    </row>
    <row r="10" spans="2:16" x14ac:dyDescent="0.25">
      <c r="B10" s="70" t="s">
        <v>42</v>
      </c>
      <c r="C10" s="71" t="s">
        <v>18</v>
      </c>
      <c r="D10" s="72" t="s">
        <v>3</v>
      </c>
      <c r="E10" s="87">
        <v>27765.507635588474</v>
      </c>
      <c r="F10" s="87">
        <v>30059.325217556634</v>
      </c>
      <c r="G10" s="73"/>
      <c r="H10" s="73"/>
      <c r="I10" s="73"/>
      <c r="J10" s="71" t="s">
        <v>18</v>
      </c>
      <c r="K10" s="72" t="s">
        <v>3</v>
      </c>
      <c r="L10" s="293">
        <v>29828.743701055559</v>
      </c>
      <c r="M10" s="300">
        <v>10678.1109</v>
      </c>
      <c r="N10" s="294"/>
      <c r="O10" s="295"/>
      <c r="P10" s="294"/>
    </row>
    <row r="11" spans="2:16" x14ac:dyDescent="0.25">
      <c r="B11" s="74" t="s">
        <v>43</v>
      </c>
      <c r="C11" s="75" t="s">
        <v>19</v>
      </c>
      <c r="D11" s="76" t="s">
        <v>3</v>
      </c>
      <c r="E11" s="88">
        <v>11220.234504513741</v>
      </c>
      <c r="F11" s="88">
        <v>11379.727650521829</v>
      </c>
      <c r="G11" s="77"/>
      <c r="H11" s="77"/>
      <c r="I11" s="77"/>
      <c r="J11" s="75" t="s">
        <v>19</v>
      </c>
      <c r="K11" s="76" t="s">
        <v>3</v>
      </c>
      <c r="L11" s="296">
        <v>10596.241148438721</v>
      </c>
      <c r="M11" s="301">
        <v>8365.3010000000013</v>
      </c>
      <c r="N11" s="297"/>
      <c r="O11" s="298"/>
      <c r="P11" s="297"/>
    </row>
    <row r="12" spans="2:16" x14ac:dyDescent="0.25">
      <c r="L12" s="90"/>
    </row>
  </sheetData>
  <mergeCells count="10">
    <mergeCell ref="K3:K4"/>
    <mergeCell ref="B1:M1"/>
    <mergeCell ref="B2:B4"/>
    <mergeCell ref="C3:C4"/>
    <mergeCell ref="D3:D4"/>
    <mergeCell ref="E3:I3"/>
    <mergeCell ref="J3:J4"/>
    <mergeCell ref="C2:I2"/>
    <mergeCell ref="J2:P2"/>
    <mergeCell ref="L3:P3"/>
  </mergeCells>
  <phoneticPr fontId="23" type="noConversion"/>
  <printOptions horizontalCentered="1"/>
  <pageMargins left="1.1811023622047245" right="0.39370078740157483" top="0.39370078740157483" bottom="0.3937007874015748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DV29"/>
  <sheetViews>
    <sheetView tabSelected="1" zoomScale="70" zoomScaleNormal="70" zoomScaleSheetLayoutView="50" workbookViewId="0">
      <pane xSplit="3" ySplit="5" topLeftCell="BP6" activePane="bottomRight" state="frozen"/>
      <selection activeCell="Z16" sqref="Z16"/>
      <selection pane="topRight" activeCell="Z16" sqref="Z16"/>
      <selection pane="bottomLeft" activeCell="Z16" sqref="Z16"/>
      <selection pane="bottomRight" activeCell="DU11" sqref="DU11"/>
    </sheetView>
  </sheetViews>
  <sheetFormatPr defaultRowHeight="12.75" x14ac:dyDescent="0.2"/>
  <cols>
    <col min="1" max="1" width="6.5703125" style="2" customWidth="1"/>
    <col min="2" max="2" width="56" style="2" customWidth="1"/>
    <col min="3" max="3" width="10.42578125" style="2" customWidth="1"/>
    <col min="4" max="5" width="10" style="2" hidden="1" customWidth="1"/>
    <col min="6" max="6" width="13.140625" style="2" hidden="1" customWidth="1"/>
    <col min="7" max="7" width="45.7109375" style="130" hidden="1" customWidth="1"/>
    <col min="8" max="8" width="9.140625" style="130" customWidth="1"/>
    <col min="9" max="9" width="9.28515625" style="130" customWidth="1"/>
    <col min="10" max="10" width="12" style="130" customWidth="1"/>
    <col min="11" max="11" width="45.7109375" style="130" customWidth="1"/>
    <col min="12" max="12" width="9.85546875" style="130" hidden="1" customWidth="1"/>
    <col min="13" max="13" width="9.28515625" style="130" hidden="1" customWidth="1"/>
    <col min="14" max="14" width="12" style="130" hidden="1" customWidth="1"/>
    <col min="15" max="15" width="45.7109375" style="130" hidden="1" customWidth="1"/>
    <col min="16" max="16" width="9.85546875" style="130" hidden="1" customWidth="1"/>
    <col min="17" max="17" width="9.28515625" style="130" hidden="1" customWidth="1"/>
    <col min="18" max="18" width="12" style="130" hidden="1" customWidth="1"/>
    <col min="19" max="19" width="45.7109375" style="130" hidden="1" customWidth="1"/>
    <col min="20" max="20" width="9.85546875" style="130" hidden="1" customWidth="1"/>
    <col min="21" max="21" width="9.28515625" style="130" hidden="1" customWidth="1"/>
    <col min="22" max="22" width="12" style="130" hidden="1" customWidth="1"/>
    <col min="23" max="23" width="45.7109375" style="130" hidden="1" customWidth="1"/>
    <col min="24" max="25" width="10" style="2" hidden="1" customWidth="1"/>
    <col min="26" max="26" width="13.42578125" style="2" hidden="1" customWidth="1"/>
    <col min="27" max="27" width="45.7109375" style="2" hidden="1" customWidth="1"/>
    <col min="28" max="28" width="10" style="2" customWidth="1"/>
    <col min="29" max="29" width="11.28515625" style="101" customWidth="1"/>
    <col min="30" max="30" width="12.7109375" style="2" customWidth="1"/>
    <col min="31" max="31" width="45.7109375" style="2" customWidth="1"/>
    <col min="32" max="33" width="10" style="2" hidden="1" customWidth="1"/>
    <col min="34" max="34" width="13.42578125" style="2" hidden="1" customWidth="1"/>
    <col min="35" max="35" width="45.7109375" style="2" hidden="1" customWidth="1"/>
    <col min="36" max="37" width="10" style="2" hidden="1" customWidth="1"/>
    <col min="38" max="38" width="13.42578125" style="2" hidden="1" customWidth="1"/>
    <col min="39" max="39" width="45.7109375" style="2" hidden="1" customWidth="1"/>
    <col min="40" max="40" width="10" style="2" hidden="1" customWidth="1"/>
    <col min="41" max="41" width="10" style="108" hidden="1" customWidth="1"/>
    <col min="42" max="42" width="13" style="2" hidden="1" customWidth="1"/>
    <col min="43" max="43" width="43.140625" style="2" hidden="1" customWidth="1"/>
    <col min="44" max="44" width="10" style="2" hidden="1" customWidth="1"/>
    <col min="45" max="45" width="10" style="130" hidden="1" customWidth="1"/>
    <col min="46" max="46" width="13" style="2" hidden="1" customWidth="1"/>
    <col min="47" max="47" width="45.7109375" style="130" hidden="1" customWidth="1"/>
    <col min="48" max="49" width="10" style="2" customWidth="1"/>
    <col min="50" max="50" width="13.85546875" style="2" customWidth="1"/>
    <col min="51" max="51" width="49.7109375" style="2" customWidth="1"/>
    <col min="52" max="52" width="10" style="2" hidden="1" customWidth="1"/>
    <col min="53" max="53" width="10" style="101" hidden="1" customWidth="1"/>
    <col min="54" max="54" width="13.85546875" style="2" hidden="1" customWidth="1"/>
    <col min="55" max="55" width="34.140625" style="2" hidden="1" customWidth="1"/>
    <col min="56" max="56" width="10" style="2" hidden="1" customWidth="1"/>
    <col min="57" max="58" width="13.85546875" style="2" hidden="1" customWidth="1"/>
    <col min="59" max="59" width="32.42578125" style="2" hidden="1" customWidth="1"/>
    <col min="60" max="60" width="10" style="2" hidden="1" customWidth="1"/>
    <col min="61" max="61" width="13.85546875" style="108" hidden="1" customWidth="1"/>
    <col min="62" max="62" width="13.85546875" style="2" hidden="1" customWidth="1"/>
    <col min="63" max="63" width="36.7109375" style="2" hidden="1" customWidth="1"/>
    <col min="64" max="64" width="10" style="2" hidden="1" customWidth="1"/>
    <col min="65" max="65" width="10" style="108" hidden="1" customWidth="1"/>
    <col min="66" max="66" width="14.140625" style="2" hidden="1" customWidth="1"/>
    <col min="67" max="67" width="45.7109375" style="2" hidden="1" customWidth="1"/>
    <col min="68" max="68" width="10" style="2" customWidth="1"/>
    <col min="69" max="69" width="10" style="130" customWidth="1"/>
    <col min="70" max="70" width="14.140625" style="2" customWidth="1"/>
    <col min="71" max="71" width="45.7109375" style="130" customWidth="1"/>
    <col min="72" max="73" width="10" style="2" hidden="1" customWidth="1"/>
    <col min="74" max="74" width="14.28515625" style="2" hidden="1" customWidth="1"/>
    <col min="75" max="75" width="49.7109375" style="2" hidden="1" customWidth="1"/>
    <col min="76" max="76" width="10" style="2" hidden="1" customWidth="1"/>
    <col min="77" max="77" width="16" style="101" hidden="1" customWidth="1"/>
    <col min="78" max="78" width="14.28515625" style="2" hidden="1" customWidth="1"/>
    <col min="79" max="79" width="43.42578125" style="2" hidden="1" customWidth="1"/>
    <col min="80" max="81" width="10" style="2" hidden="1" customWidth="1"/>
    <col min="82" max="82" width="14.28515625" style="2" hidden="1" customWidth="1"/>
    <col min="83" max="83" width="49.7109375" style="2" hidden="1" customWidth="1"/>
    <col min="84" max="84" width="10" style="2" hidden="1" customWidth="1"/>
    <col min="85" max="85" width="10" style="108" hidden="1" customWidth="1"/>
    <col min="86" max="86" width="14.28515625" style="2" hidden="1" customWidth="1"/>
    <col min="87" max="87" width="49.7109375" style="2" hidden="1" customWidth="1"/>
    <col min="88" max="88" width="10" style="2" customWidth="1"/>
    <col min="89" max="89" width="10" style="108" customWidth="1"/>
    <col min="90" max="90" width="17.5703125" style="2" customWidth="1"/>
    <col min="91" max="91" width="45.7109375" style="2" customWidth="1"/>
    <col min="92" max="92" width="10" style="2" hidden="1" customWidth="1"/>
    <col min="93" max="93" width="10" style="130" hidden="1" customWidth="1"/>
    <col min="94" max="94" width="17.5703125" style="2" hidden="1" customWidth="1"/>
    <col min="95" max="95" width="45.7109375" style="130" hidden="1" customWidth="1"/>
    <col min="96" max="97" width="10" style="2" hidden="1" customWidth="1"/>
    <col min="98" max="98" width="13.85546875" style="2" hidden="1" customWidth="1"/>
    <col min="99" max="99" width="49.7109375" style="2" hidden="1" customWidth="1"/>
    <col min="100" max="100" width="10" style="2" hidden="1" customWidth="1"/>
    <col min="101" max="101" width="14.140625" style="101" hidden="1" customWidth="1"/>
    <col min="102" max="102" width="13.42578125" style="2" hidden="1" customWidth="1"/>
    <col min="103" max="103" width="43.140625" style="2" hidden="1" customWidth="1"/>
    <col min="104" max="105" width="10" style="2" hidden="1" customWidth="1"/>
    <col min="106" max="106" width="13.42578125" style="2" hidden="1" customWidth="1"/>
    <col min="107" max="107" width="43.28515625" style="2" hidden="1" customWidth="1"/>
    <col min="108" max="108" width="10" style="2" customWidth="1"/>
    <col min="109" max="109" width="10" style="108" customWidth="1"/>
    <col min="110" max="110" width="13.42578125" style="2" customWidth="1"/>
    <col min="111" max="111" width="33.5703125" style="2" customWidth="1"/>
    <col min="112" max="112" width="10" style="2" hidden="1" customWidth="1"/>
    <col min="113" max="113" width="10" style="108" hidden="1" customWidth="1"/>
    <col min="114" max="114" width="14" style="2" hidden="1" customWidth="1"/>
    <col min="115" max="115" width="45.7109375" style="2" hidden="1" customWidth="1"/>
    <col min="116" max="116" width="10" style="2" hidden="1" customWidth="1"/>
    <col min="117" max="117" width="10" style="130" hidden="1" customWidth="1"/>
    <col min="118" max="118" width="14" style="2" hidden="1" customWidth="1"/>
    <col min="119" max="119" width="45.7109375" style="130" hidden="1" customWidth="1"/>
    <col min="120" max="121" width="10" style="2" hidden="1" customWidth="1"/>
    <col min="122" max="122" width="16.140625" style="2" hidden="1" customWidth="1"/>
    <col min="123" max="123" width="49.7109375" style="2" hidden="1" customWidth="1"/>
    <col min="124" max="124" width="9.140625" style="2"/>
    <col min="125" max="126" width="10.5703125" style="2" customWidth="1"/>
    <col min="127" max="16384" width="9.140625" style="2"/>
  </cols>
  <sheetData>
    <row r="1" spans="1:126" s="1" customFormat="1" ht="22.5" customHeight="1" x14ac:dyDescent="0.25">
      <c r="A1" s="323" t="s">
        <v>151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51"/>
      <c r="CK1" s="251"/>
      <c r="CL1" s="251"/>
      <c r="CM1" s="251"/>
      <c r="CN1" s="251"/>
      <c r="CO1" s="251"/>
      <c r="CP1" s="251"/>
      <c r="CQ1" s="251"/>
      <c r="CR1" s="251"/>
      <c r="CS1" s="251"/>
      <c r="CT1" s="251"/>
      <c r="CU1" s="251"/>
      <c r="CV1" s="251"/>
      <c r="CW1" s="251"/>
      <c r="CX1" s="251"/>
      <c r="CY1" s="251"/>
      <c r="CZ1" s="251"/>
      <c r="DA1" s="251"/>
      <c r="DB1" s="251"/>
      <c r="DC1" s="251"/>
      <c r="DD1" s="251"/>
      <c r="DE1" s="251"/>
      <c r="DF1" s="251"/>
      <c r="DG1" s="251"/>
      <c r="DH1" s="251"/>
      <c r="DI1" s="251"/>
      <c r="DJ1" s="251"/>
      <c r="DK1" s="251"/>
      <c r="DL1" s="251"/>
      <c r="DM1" s="251"/>
      <c r="DN1" s="251"/>
      <c r="DO1" s="251"/>
      <c r="DP1" s="251"/>
      <c r="DQ1" s="251"/>
      <c r="DR1" s="251"/>
      <c r="DS1" s="251"/>
    </row>
    <row r="2" spans="1:126" ht="16.5" customHeight="1" x14ac:dyDescent="0.2">
      <c r="A2" s="408" t="s">
        <v>25</v>
      </c>
      <c r="B2" s="408" t="s">
        <v>2</v>
      </c>
      <c r="C2" s="408" t="s">
        <v>26</v>
      </c>
      <c r="D2" s="412" t="s">
        <v>68</v>
      </c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  <c r="AI2" s="413"/>
      <c r="AJ2" s="413"/>
      <c r="AK2" s="413"/>
      <c r="AL2" s="413"/>
      <c r="AM2" s="413"/>
      <c r="AN2" s="413"/>
      <c r="AO2" s="413"/>
      <c r="AP2" s="413"/>
      <c r="AQ2" s="413"/>
      <c r="AR2" s="413"/>
      <c r="AS2" s="413"/>
      <c r="AT2" s="413"/>
      <c r="AU2" s="413"/>
      <c r="AV2" s="413"/>
      <c r="AW2" s="413"/>
      <c r="AX2" s="413"/>
      <c r="AY2" s="413"/>
      <c r="AZ2" s="413"/>
      <c r="BA2" s="413"/>
      <c r="BB2" s="413"/>
      <c r="BC2" s="413"/>
      <c r="BD2" s="413"/>
      <c r="BE2" s="413"/>
      <c r="BF2" s="413"/>
      <c r="BG2" s="413"/>
      <c r="BH2" s="413"/>
      <c r="BI2" s="413"/>
      <c r="BJ2" s="413"/>
      <c r="BK2" s="413"/>
      <c r="BL2" s="413"/>
      <c r="BM2" s="413"/>
      <c r="BN2" s="413"/>
      <c r="BO2" s="413"/>
      <c r="BP2" s="413"/>
      <c r="BQ2" s="413"/>
      <c r="BR2" s="413"/>
      <c r="BS2" s="413"/>
      <c r="BT2" s="413"/>
      <c r="BU2" s="413"/>
      <c r="BV2" s="413"/>
      <c r="BW2" s="413"/>
      <c r="BX2" s="413"/>
      <c r="BY2" s="413"/>
      <c r="BZ2" s="413"/>
      <c r="CA2" s="413"/>
      <c r="CB2" s="413"/>
      <c r="CC2" s="413"/>
      <c r="CD2" s="413"/>
      <c r="CE2" s="413"/>
      <c r="CF2" s="413"/>
      <c r="CG2" s="413"/>
      <c r="CH2" s="413"/>
      <c r="CI2" s="413"/>
      <c r="CJ2" s="413"/>
      <c r="CK2" s="413"/>
      <c r="CL2" s="413"/>
      <c r="CM2" s="413"/>
      <c r="CN2" s="413"/>
      <c r="CO2" s="413"/>
      <c r="CP2" s="413"/>
      <c r="CQ2" s="413"/>
      <c r="CR2" s="413"/>
      <c r="CS2" s="413"/>
      <c r="CT2" s="413"/>
      <c r="CU2" s="413"/>
      <c r="CV2" s="413"/>
      <c r="CW2" s="413"/>
      <c r="CX2" s="413"/>
      <c r="CY2" s="413"/>
      <c r="CZ2" s="413"/>
      <c r="DA2" s="413"/>
      <c r="DB2" s="413"/>
      <c r="DC2" s="413"/>
      <c r="DD2" s="413"/>
      <c r="DE2" s="413"/>
      <c r="DF2" s="413"/>
      <c r="DG2" s="413"/>
      <c r="DH2" s="413"/>
      <c r="DI2" s="413"/>
      <c r="DJ2" s="413"/>
      <c r="DK2" s="413"/>
      <c r="DL2" s="413"/>
      <c r="DM2" s="413"/>
      <c r="DN2" s="413"/>
      <c r="DO2" s="413"/>
      <c r="DP2" s="413"/>
      <c r="DQ2" s="413"/>
      <c r="DR2" s="413"/>
      <c r="DS2" s="414"/>
    </row>
    <row r="3" spans="1:126" s="147" customFormat="1" ht="24.75" customHeight="1" x14ac:dyDescent="0.2">
      <c r="A3" s="408"/>
      <c r="B3" s="408"/>
      <c r="C3" s="408"/>
      <c r="D3" s="415" t="s">
        <v>15</v>
      </c>
      <c r="E3" s="416"/>
      <c r="F3" s="416"/>
      <c r="G3" s="417"/>
      <c r="H3" s="415" t="s">
        <v>15</v>
      </c>
      <c r="I3" s="416"/>
      <c r="J3" s="416"/>
      <c r="K3" s="417"/>
      <c r="L3" s="415" t="s">
        <v>15</v>
      </c>
      <c r="M3" s="416"/>
      <c r="N3" s="416"/>
      <c r="O3" s="417"/>
      <c r="P3" s="415" t="s">
        <v>15</v>
      </c>
      <c r="Q3" s="416"/>
      <c r="R3" s="416"/>
      <c r="S3" s="416"/>
      <c r="T3" s="416"/>
      <c r="U3" s="416"/>
      <c r="V3" s="416"/>
      <c r="W3" s="417"/>
      <c r="X3" s="415" t="s">
        <v>5</v>
      </c>
      <c r="Y3" s="416"/>
      <c r="Z3" s="416"/>
      <c r="AA3" s="417"/>
      <c r="AB3" s="415" t="s">
        <v>5</v>
      </c>
      <c r="AC3" s="416"/>
      <c r="AD3" s="416"/>
      <c r="AE3" s="417"/>
      <c r="AF3" s="314"/>
      <c r="AG3" s="314"/>
      <c r="AH3" s="314"/>
      <c r="AI3" s="314"/>
      <c r="AJ3" s="314"/>
      <c r="AK3" s="314"/>
      <c r="AL3" s="314"/>
      <c r="AM3" s="314"/>
      <c r="AN3" s="314"/>
      <c r="AO3" s="314"/>
      <c r="AP3" s="314"/>
      <c r="AQ3" s="315"/>
      <c r="AR3" s="415" t="s">
        <v>16</v>
      </c>
      <c r="AS3" s="416"/>
      <c r="AT3" s="416"/>
      <c r="AU3" s="417"/>
      <c r="AV3" s="415" t="s">
        <v>16</v>
      </c>
      <c r="AW3" s="416"/>
      <c r="AX3" s="416"/>
      <c r="AY3" s="417"/>
      <c r="AZ3" s="314"/>
      <c r="BA3" s="314"/>
      <c r="BB3" s="314"/>
      <c r="BC3" s="314"/>
      <c r="BD3" s="314"/>
      <c r="BE3" s="314"/>
      <c r="BF3" s="314"/>
      <c r="BG3" s="314"/>
      <c r="BH3" s="314"/>
      <c r="BI3" s="314"/>
      <c r="BJ3" s="314"/>
      <c r="BK3" s="314"/>
      <c r="BL3" s="415" t="s">
        <v>17</v>
      </c>
      <c r="BM3" s="416"/>
      <c r="BN3" s="416"/>
      <c r="BO3" s="417"/>
      <c r="BP3" s="415" t="s">
        <v>17</v>
      </c>
      <c r="BQ3" s="416"/>
      <c r="BR3" s="416"/>
      <c r="BS3" s="417"/>
      <c r="BT3" s="415" t="s">
        <v>17</v>
      </c>
      <c r="BU3" s="416"/>
      <c r="BV3" s="416"/>
      <c r="BW3" s="416"/>
      <c r="BX3" s="416"/>
      <c r="BY3" s="416"/>
      <c r="BZ3" s="416"/>
      <c r="CA3" s="416"/>
      <c r="CB3" s="416"/>
      <c r="CC3" s="416"/>
      <c r="CD3" s="416"/>
      <c r="CE3" s="417"/>
      <c r="CF3" s="415" t="s">
        <v>18</v>
      </c>
      <c r="CG3" s="416"/>
      <c r="CH3" s="416"/>
      <c r="CI3" s="417"/>
      <c r="CJ3" s="415" t="s">
        <v>18</v>
      </c>
      <c r="CK3" s="416"/>
      <c r="CL3" s="416"/>
      <c r="CM3" s="417"/>
      <c r="CN3" s="415" t="s">
        <v>18</v>
      </c>
      <c r="CO3" s="416"/>
      <c r="CP3" s="416"/>
      <c r="CQ3" s="416"/>
      <c r="CR3" s="416"/>
      <c r="CS3" s="416"/>
      <c r="CT3" s="416"/>
      <c r="CU3" s="416"/>
      <c r="CV3" s="416"/>
      <c r="CW3" s="416"/>
      <c r="CX3" s="416"/>
      <c r="CY3" s="417"/>
      <c r="CZ3" s="415" t="s">
        <v>19</v>
      </c>
      <c r="DA3" s="416"/>
      <c r="DB3" s="416"/>
      <c r="DC3" s="417"/>
      <c r="DD3" s="415" t="s">
        <v>19</v>
      </c>
      <c r="DE3" s="416"/>
      <c r="DF3" s="416"/>
      <c r="DG3" s="417"/>
      <c r="DH3" s="314"/>
      <c r="DI3" s="314"/>
      <c r="DJ3" s="314"/>
      <c r="DK3" s="314"/>
      <c r="DL3" s="314"/>
      <c r="DM3" s="314"/>
      <c r="DN3" s="314"/>
      <c r="DO3" s="314"/>
      <c r="DP3" s="314"/>
      <c r="DQ3" s="314"/>
      <c r="DR3" s="314"/>
      <c r="DS3" s="315"/>
    </row>
    <row r="4" spans="1:126" ht="18" customHeight="1" x14ac:dyDescent="0.2">
      <c r="A4" s="408"/>
      <c r="B4" s="408"/>
      <c r="C4" s="408"/>
      <c r="D4" s="393" t="s">
        <v>167</v>
      </c>
      <c r="E4" s="393"/>
      <c r="F4" s="392" t="s">
        <v>155</v>
      </c>
      <c r="G4" s="392" t="s">
        <v>150</v>
      </c>
      <c r="H4" s="404" t="s">
        <v>228</v>
      </c>
      <c r="I4" s="405"/>
      <c r="J4" s="392" t="s">
        <v>155</v>
      </c>
      <c r="K4" s="392" t="s">
        <v>150</v>
      </c>
      <c r="L4" s="404" t="s">
        <v>229</v>
      </c>
      <c r="M4" s="405"/>
      <c r="N4" s="392" t="s">
        <v>155</v>
      </c>
      <c r="O4" s="392" t="s">
        <v>150</v>
      </c>
      <c r="P4" s="404" t="s">
        <v>230</v>
      </c>
      <c r="Q4" s="405"/>
      <c r="R4" s="392" t="s">
        <v>155</v>
      </c>
      <c r="S4" s="392" t="s">
        <v>150</v>
      </c>
      <c r="T4" s="404" t="s">
        <v>231</v>
      </c>
      <c r="U4" s="405"/>
      <c r="V4" s="392" t="s">
        <v>155</v>
      </c>
      <c r="W4" s="392" t="s">
        <v>150</v>
      </c>
      <c r="X4" s="393" t="s">
        <v>167</v>
      </c>
      <c r="Y4" s="393"/>
      <c r="Z4" s="392" t="s">
        <v>155</v>
      </c>
      <c r="AA4" s="392" t="s">
        <v>150</v>
      </c>
      <c r="AB4" s="406" t="s">
        <v>190</v>
      </c>
      <c r="AC4" s="406"/>
      <c r="AD4" s="392" t="s">
        <v>155</v>
      </c>
      <c r="AE4" s="392" t="s">
        <v>150</v>
      </c>
      <c r="AF4" s="410" t="s">
        <v>210</v>
      </c>
      <c r="AG4" s="411"/>
      <c r="AH4" s="396" t="s">
        <v>155</v>
      </c>
      <c r="AI4" s="396" t="s">
        <v>150</v>
      </c>
      <c r="AJ4" s="406" t="s">
        <v>211</v>
      </c>
      <c r="AK4" s="406"/>
      <c r="AL4" s="392" t="s">
        <v>155</v>
      </c>
      <c r="AM4" s="392" t="s">
        <v>150</v>
      </c>
      <c r="AN4" s="393" t="s">
        <v>212</v>
      </c>
      <c r="AO4" s="393"/>
      <c r="AP4" s="392" t="s">
        <v>155</v>
      </c>
      <c r="AQ4" s="392" t="s">
        <v>150</v>
      </c>
      <c r="AR4" s="394" t="s">
        <v>167</v>
      </c>
      <c r="AS4" s="395"/>
      <c r="AT4" s="392" t="s">
        <v>155</v>
      </c>
      <c r="AU4" s="392" t="s">
        <v>150</v>
      </c>
      <c r="AV4" s="393" t="s">
        <v>190</v>
      </c>
      <c r="AW4" s="393"/>
      <c r="AX4" s="392" t="s">
        <v>155</v>
      </c>
      <c r="AY4" s="392" t="s">
        <v>150</v>
      </c>
      <c r="AZ4" s="410" t="s">
        <v>210</v>
      </c>
      <c r="BA4" s="411"/>
      <c r="BB4" s="396" t="s">
        <v>155</v>
      </c>
      <c r="BC4" s="396" t="s">
        <v>150</v>
      </c>
      <c r="BD4" s="394" t="s">
        <v>211</v>
      </c>
      <c r="BE4" s="395"/>
      <c r="BF4" s="396" t="s">
        <v>155</v>
      </c>
      <c r="BG4" s="396" t="s">
        <v>150</v>
      </c>
      <c r="BH4" s="394" t="s">
        <v>212</v>
      </c>
      <c r="BI4" s="395"/>
      <c r="BJ4" s="396" t="s">
        <v>155</v>
      </c>
      <c r="BK4" s="396" t="s">
        <v>150</v>
      </c>
      <c r="BL4" s="393" t="s">
        <v>167</v>
      </c>
      <c r="BM4" s="393"/>
      <c r="BN4" s="392" t="s">
        <v>155</v>
      </c>
      <c r="BO4" s="392" t="s">
        <v>150</v>
      </c>
      <c r="BP4" s="394" t="s">
        <v>190</v>
      </c>
      <c r="BQ4" s="395"/>
      <c r="BR4" s="392" t="s">
        <v>155</v>
      </c>
      <c r="BS4" s="392" t="s">
        <v>150</v>
      </c>
      <c r="BT4" s="393" t="s">
        <v>210</v>
      </c>
      <c r="BU4" s="393"/>
      <c r="BV4" s="392" t="s">
        <v>155</v>
      </c>
      <c r="BW4" s="392" t="s">
        <v>150</v>
      </c>
      <c r="BX4" s="406" t="s">
        <v>211</v>
      </c>
      <c r="BY4" s="406"/>
      <c r="BZ4" s="392" t="s">
        <v>155</v>
      </c>
      <c r="CA4" s="392" t="s">
        <v>150</v>
      </c>
      <c r="CB4" s="393" t="s">
        <v>212</v>
      </c>
      <c r="CC4" s="393"/>
      <c r="CD4" s="392" t="s">
        <v>155</v>
      </c>
      <c r="CE4" s="392" t="s">
        <v>150</v>
      </c>
      <c r="CF4" s="393" t="s">
        <v>167</v>
      </c>
      <c r="CG4" s="393"/>
      <c r="CH4" s="392" t="s">
        <v>155</v>
      </c>
      <c r="CI4" s="392" t="s">
        <v>150</v>
      </c>
      <c r="CJ4" s="393" t="s">
        <v>190</v>
      </c>
      <c r="CK4" s="393"/>
      <c r="CL4" s="392" t="s">
        <v>155</v>
      </c>
      <c r="CM4" s="392" t="s">
        <v>150</v>
      </c>
      <c r="CN4" s="394" t="s">
        <v>210</v>
      </c>
      <c r="CO4" s="395"/>
      <c r="CP4" s="392" t="s">
        <v>155</v>
      </c>
      <c r="CQ4" s="392" t="s">
        <v>150</v>
      </c>
      <c r="CR4" s="393" t="s">
        <v>211</v>
      </c>
      <c r="CS4" s="393"/>
      <c r="CT4" s="392" t="s">
        <v>155</v>
      </c>
      <c r="CU4" s="392" t="s">
        <v>150</v>
      </c>
      <c r="CV4" s="406" t="s">
        <v>212</v>
      </c>
      <c r="CW4" s="406"/>
      <c r="CX4" s="392" t="s">
        <v>155</v>
      </c>
      <c r="CY4" s="392" t="s">
        <v>150</v>
      </c>
      <c r="CZ4" s="393" t="s">
        <v>167</v>
      </c>
      <c r="DA4" s="393"/>
      <c r="DB4" s="392" t="s">
        <v>155</v>
      </c>
      <c r="DC4" s="392" t="s">
        <v>150</v>
      </c>
      <c r="DD4" s="393" t="s">
        <v>190</v>
      </c>
      <c r="DE4" s="393"/>
      <c r="DF4" s="392" t="s">
        <v>155</v>
      </c>
      <c r="DG4" s="392" t="s">
        <v>150</v>
      </c>
      <c r="DH4" s="393" t="s">
        <v>210</v>
      </c>
      <c r="DI4" s="393"/>
      <c r="DJ4" s="392" t="s">
        <v>155</v>
      </c>
      <c r="DK4" s="392" t="s">
        <v>150</v>
      </c>
      <c r="DL4" s="394" t="s">
        <v>211</v>
      </c>
      <c r="DM4" s="395"/>
      <c r="DN4" s="392" t="s">
        <v>155</v>
      </c>
      <c r="DO4" s="392" t="s">
        <v>150</v>
      </c>
      <c r="DP4" s="393" t="s">
        <v>212</v>
      </c>
      <c r="DQ4" s="393"/>
      <c r="DR4" s="392" t="s">
        <v>156</v>
      </c>
      <c r="DS4" s="392" t="s">
        <v>150</v>
      </c>
    </row>
    <row r="5" spans="1:126" ht="26.25" customHeight="1" x14ac:dyDescent="0.2">
      <c r="A5" s="408"/>
      <c r="B5" s="408"/>
      <c r="C5" s="408"/>
      <c r="D5" s="302" t="s">
        <v>81</v>
      </c>
      <c r="E5" s="303" t="s">
        <v>82</v>
      </c>
      <c r="F5" s="392"/>
      <c r="G5" s="392"/>
      <c r="H5" s="302" t="s">
        <v>81</v>
      </c>
      <c r="I5" s="310" t="s">
        <v>82</v>
      </c>
      <c r="J5" s="392"/>
      <c r="K5" s="392"/>
      <c r="L5" s="302" t="s">
        <v>81</v>
      </c>
      <c r="M5" s="303" t="s">
        <v>82</v>
      </c>
      <c r="N5" s="392"/>
      <c r="O5" s="392"/>
      <c r="P5" s="302" t="s">
        <v>81</v>
      </c>
      <c r="Q5" s="303" t="s">
        <v>82</v>
      </c>
      <c r="R5" s="392"/>
      <c r="S5" s="392"/>
      <c r="T5" s="302" t="s">
        <v>81</v>
      </c>
      <c r="U5" s="303" t="s">
        <v>82</v>
      </c>
      <c r="V5" s="392"/>
      <c r="W5" s="392"/>
      <c r="X5" s="302" t="s">
        <v>81</v>
      </c>
      <c r="Y5" s="302" t="s">
        <v>82</v>
      </c>
      <c r="Z5" s="392"/>
      <c r="AA5" s="392"/>
      <c r="AB5" s="303" t="s">
        <v>81</v>
      </c>
      <c r="AC5" s="310" t="s">
        <v>82</v>
      </c>
      <c r="AD5" s="392"/>
      <c r="AE5" s="392"/>
      <c r="AF5" s="302" t="s">
        <v>81</v>
      </c>
      <c r="AG5" s="302" t="s">
        <v>82</v>
      </c>
      <c r="AH5" s="397"/>
      <c r="AI5" s="397"/>
      <c r="AJ5" s="302" t="s">
        <v>81</v>
      </c>
      <c r="AK5" s="302" t="s">
        <v>82</v>
      </c>
      <c r="AL5" s="392"/>
      <c r="AM5" s="392"/>
      <c r="AN5" s="302" t="s">
        <v>81</v>
      </c>
      <c r="AO5" s="303" t="s">
        <v>82</v>
      </c>
      <c r="AP5" s="392"/>
      <c r="AQ5" s="392"/>
      <c r="AR5" s="302" t="s">
        <v>81</v>
      </c>
      <c r="AS5" s="311" t="s">
        <v>82</v>
      </c>
      <c r="AT5" s="392"/>
      <c r="AU5" s="392"/>
      <c r="AV5" s="302" t="s">
        <v>81</v>
      </c>
      <c r="AW5" s="310" t="s">
        <v>82</v>
      </c>
      <c r="AX5" s="392"/>
      <c r="AY5" s="392"/>
      <c r="AZ5" s="303" t="s">
        <v>81</v>
      </c>
      <c r="BA5" s="303" t="s">
        <v>82</v>
      </c>
      <c r="BB5" s="397"/>
      <c r="BC5" s="397"/>
      <c r="BD5" s="302" t="s">
        <v>81</v>
      </c>
      <c r="BE5" s="302" t="s">
        <v>82</v>
      </c>
      <c r="BF5" s="397"/>
      <c r="BG5" s="397"/>
      <c r="BH5" s="302" t="s">
        <v>81</v>
      </c>
      <c r="BI5" s="303" t="s">
        <v>82</v>
      </c>
      <c r="BJ5" s="397"/>
      <c r="BK5" s="397"/>
      <c r="BL5" s="302" t="s">
        <v>81</v>
      </c>
      <c r="BM5" s="310" t="s">
        <v>82</v>
      </c>
      <c r="BN5" s="392"/>
      <c r="BO5" s="392"/>
      <c r="BP5" s="302" t="s">
        <v>81</v>
      </c>
      <c r="BQ5" s="310" t="s">
        <v>82</v>
      </c>
      <c r="BR5" s="392"/>
      <c r="BS5" s="392"/>
      <c r="BT5" s="302" t="s">
        <v>81</v>
      </c>
      <c r="BU5" s="302" t="s">
        <v>82</v>
      </c>
      <c r="BV5" s="392"/>
      <c r="BW5" s="392"/>
      <c r="BX5" s="303" t="s">
        <v>81</v>
      </c>
      <c r="BY5" s="303" t="s">
        <v>82</v>
      </c>
      <c r="BZ5" s="392"/>
      <c r="CA5" s="392"/>
      <c r="CB5" s="302" t="s">
        <v>81</v>
      </c>
      <c r="CC5" s="302" t="s">
        <v>82</v>
      </c>
      <c r="CD5" s="392"/>
      <c r="CE5" s="392"/>
      <c r="CF5" s="302" t="s">
        <v>81</v>
      </c>
      <c r="CG5" s="310" t="s">
        <v>82</v>
      </c>
      <c r="CH5" s="392"/>
      <c r="CI5" s="392"/>
      <c r="CJ5" s="302" t="s">
        <v>81</v>
      </c>
      <c r="CK5" s="310" t="s">
        <v>82</v>
      </c>
      <c r="CL5" s="392"/>
      <c r="CM5" s="392"/>
      <c r="CN5" s="302" t="s">
        <v>81</v>
      </c>
      <c r="CO5" s="310" t="s">
        <v>82</v>
      </c>
      <c r="CP5" s="392"/>
      <c r="CQ5" s="392"/>
      <c r="CR5" s="302" t="s">
        <v>81</v>
      </c>
      <c r="CS5" s="302" t="s">
        <v>82</v>
      </c>
      <c r="CT5" s="392"/>
      <c r="CU5" s="392"/>
      <c r="CV5" s="303" t="s">
        <v>81</v>
      </c>
      <c r="CW5" s="303" t="s">
        <v>82</v>
      </c>
      <c r="CX5" s="392"/>
      <c r="CY5" s="392"/>
      <c r="CZ5" s="302" t="s">
        <v>81</v>
      </c>
      <c r="DA5" s="310" t="s">
        <v>82</v>
      </c>
      <c r="DB5" s="392"/>
      <c r="DC5" s="392"/>
      <c r="DD5" s="302" t="s">
        <v>81</v>
      </c>
      <c r="DE5" s="310" t="s">
        <v>82</v>
      </c>
      <c r="DF5" s="392"/>
      <c r="DG5" s="392"/>
      <c r="DH5" s="302" t="s">
        <v>81</v>
      </c>
      <c r="DI5" s="310" t="s">
        <v>82</v>
      </c>
      <c r="DJ5" s="392"/>
      <c r="DK5" s="392"/>
      <c r="DL5" s="302" t="s">
        <v>81</v>
      </c>
      <c r="DM5" s="310" t="s">
        <v>82</v>
      </c>
      <c r="DN5" s="392"/>
      <c r="DO5" s="392"/>
      <c r="DP5" s="302" t="s">
        <v>81</v>
      </c>
      <c r="DQ5" s="310" t="s">
        <v>82</v>
      </c>
      <c r="DR5" s="392"/>
      <c r="DS5" s="392"/>
    </row>
    <row r="6" spans="1:126" x14ac:dyDescent="0.2">
      <c r="A6" s="127">
        <v>1</v>
      </c>
      <c r="B6" s="127">
        <f>A6+1</f>
        <v>2</v>
      </c>
      <c r="C6" s="127">
        <f>B6+1</f>
        <v>3</v>
      </c>
      <c r="D6" s="127">
        <v>4</v>
      </c>
      <c r="E6" s="128">
        <v>5</v>
      </c>
      <c r="F6" s="127">
        <v>6</v>
      </c>
      <c r="G6" s="128">
        <v>7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13"/>
      <c r="AP6" s="127"/>
      <c r="AQ6" s="127"/>
      <c r="AR6" s="127"/>
      <c r="AS6" s="113"/>
      <c r="AT6" s="127"/>
      <c r="AU6" s="128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13"/>
      <c r="BJ6" s="127"/>
      <c r="BK6" s="127"/>
      <c r="BL6" s="127"/>
      <c r="BM6" s="113"/>
      <c r="BN6" s="127"/>
      <c r="BO6" s="127"/>
      <c r="BP6" s="127"/>
      <c r="BQ6" s="113"/>
      <c r="BR6" s="127"/>
      <c r="BS6" s="128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>
        <v>7</v>
      </c>
      <c r="CF6" s="127"/>
      <c r="CG6" s="113"/>
      <c r="CH6" s="127"/>
      <c r="CI6" s="127"/>
      <c r="CJ6" s="127"/>
      <c r="CK6" s="113"/>
      <c r="CL6" s="127"/>
      <c r="CM6" s="127"/>
      <c r="CN6" s="127"/>
      <c r="CO6" s="113"/>
      <c r="CP6" s="127"/>
      <c r="CQ6" s="128"/>
      <c r="CR6" s="127"/>
      <c r="CS6" s="127"/>
      <c r="CT6" s="127"/>
      <c r="CU6" s="127"/>
      <c r="CV6" s="127"/>
      <c r="CW6" s="127"/>
      <c r="CX6" s="127"/>
      <c r="CY6" s="127">
        <v>7</v>
      </c>
      <c r="CZ6" s="127"/>
      <c r="DA6" s="127"/>
      <c r="DB6" s="127"/>
      <c r="DC6" s="127"/>
      <c r="DD6" s="127"/>
      <c r="DE6" s="113"/>
      <c r="DF6" s="127"/>
      <c r="DG6" s="127"/>
      <c r="DH6" s="127"/>
      <c r="DI6" s="113"/>
      <c r="DJ6" s="127"/>
      <c r="DK6" s="127"/>
      <c r="DL6" s="127"/>
      <c r="DM6" s="113"/>
      <c r="DN6" s="127"/>
      <c r="DO6" s="128"/>
      <c r="DP6" s="127"/>
      <c r="DQ6" s="127"/>
      <c r="DR6" s="127">
        <v>6</v>
      </c>
      <c r="DS6" s="127">
        <v>7</v>
      </c>
    </row>
    <row r="7" spans="1:126" ht="15.75" x14ac:dyDescent="0.2">
      <c r="A7" s="114" t="s">
        <v>51</v>
      </c>
      <c r="B7" s="407" t="s">
        <v>28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407"/>
      <c r="AV7" s="407"/>
      <c r="AW7" s="407"/>
      <c r="AX7" s="407"/>
      <c r="AY7" s="407"/>
      <c r="AZ7" s="407"/>
      <c r="BA7" s="407"/>
      <c r="BB7" s="407"/>
      <c r="BC7" s="407"/>
      <c r="BD7" s="407"/>
      <c r="BE7" s="407"/>
      <c r="BF7" s="407"/>
      <c r="BG7" s="407"/>
      <c r="BH7" s="407"/>
      <c r="BI7" s="407"/>
      <c r="BJ7" s="407"/>
      <c r="BK7" s="407"/>
      <c r="BL7" s="407"/>
      <c r="BM7" s="407"/>
      <c r="BN7" s="407"/>
      <c r="BO7" s="407"/>
      <c r="BP7" s="407"/>
      <c r="BQ7" s="407"/>
      <c r="BR7" s="407"/>
      <c r="BS7" s="407"/>
      <c r="BT7" s="407"/>
      <c r="BU7" s="407"/>
      <c r="BV7" s="407"/>
      <c r="BW7" s="407"/>
      <c r="BX7" s="407"/>
      <c r="BY7" s="407"/>
      <c r="BZ7" s="407"/>
      <c r="CA7" s="407"/>
      <c r="CB7" s="407"/>
      <c r="CC7" s="407"/>
      <c r="CD7" s="407"/>
      <c r="CE7" s="407"/>
      <c r="CF7" s="407"/>
      <c r="CG7" s="407"/>
      <c r="CH7" s="407"/>
      <c r="CI7" s="407"/>
      <c r="CJ7" s="407"/>
      <c r="CK7" s="407"/>
      <c r="CL7" s="407"/>
      <c r="CM7" s="407"/>
      <c r="CN7" s="407"/>
      <c r="CO7" s="407"/>
      <c r="CP7" s="407"/>
      <c r="CQ7" s="407"/>
      <c r="CR7" s="407"/>
      <c r="CS7" s="407"/>
      <c r="CT7" s="407"/>
      <c r="CU7" s="407"/>
      <c r="CV7" s="407"/>
      <c r="CW7" s="407"/>
      <c r="CX7" s="407"/>
      <c r="CY7" s="407"/>
      <c r="CZ7" s="407"/>
      <c r="DA7" s="407"/>
      <c r="DB7" s="407"/>
      <c r="DC7" s="407"/>
      <c r="DD7" s="407"/>
      <c r="DE7" s="407"/>
      <c r="DF7" s="407"/>
      <c r="DG7" s="407"/>
      <c r="DH7" s="407"/>
      <c r="DI7" s="407"/>
      <c r="DJ7" s="407"/>
      <c r="DK7" s="407"/>
      <c r="DL7" s="407"/>
      <c r="DM7" s="407"/>
      <c r="DN7" s="407"/>
      <c r="DO7" s="407"/>
      <c r="DP7" s="407"/>
      <c r="DQ7" s="407"/>
      <c r="DR7" s="407"/>
      <c r="DS7" s="407"/>
    </row>
    <row r="8" spans="1:126" ht="118.5" customHeight="1" x14ac:dyDescent="0.2">
      <c r="A8" s="131" t="s">
        <v>53</v>
      </c>
      <c r="B8" s="246" t="s">
        <v>152</v>
      </c>
      <c r="C8" s="106" t="s">
        <v>4</v>
      </c>
      <c r="D8" s="129">
        <f t="shared" ref="D8" si="0">D9/D10*100</f>
        <v>0</v>
      </c>
      <c r="E8" s="129">
        <f>E9/E10*100</f>
        <v>6.524317912218268</v>
      </c>
      <c r="F8" s="129">
        <f>E8-D8</f>
        <v>6.524317912218268</v>
      </c>
      <c r="G8" s="398" t="s">
        <v>159</v>
      </c>
      <c r="H8" s="116">
        <f t="shared" ref="H8:I8" si="1">H9/H10*100</f>
        <v>0</v>
      </c>
      <c r="I8" s="116">
        <f t="shared" si="1"/>
        <v>4.0625</v>
      </c>
      <c r="J8" s="129">
        <f t="shared" ref="J8:J13" si="2">I8-H8</f>
        <v>4.0625</v>
      </c>
      <c r="K8" s="400" t="s">
        <v>159</v>
      </c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29">
        <f t="shared" ref="X8:DA8" si="3">X9/X10*100</f>
        <v>0</v>
      </c>
      <c r="Y8" s="129">
        <f t="shared" si="3"/>
        <v>5.1094890510948909</v>
      </c>
      <c r="Z8" s="129">
        <f t="shared" ref="Z8:Z13" si="4">Y8-X8</f>
        <v>5.1094890510948909</v>
      </c>
      <c r="AA8" s="400" t="s">
        <v>159</v>
      </c>
      <c r="AB8" s="129">
        <f t="shared" ref="AB8:AC8" si="5">AB9/AB10*100</f>
        <v>0</v>
      </c>
      <c r="AC8" s="129">
        <f t="shared" si="5"/>
        <v>5.9055118110236222</v>
      </c>
      <c r="AD8" s="129">
        <f t="shared" ref="AD8:AD13" si="6">AC8-AB8</f>
        <v>5.9055118110236222</v>
      </c>
      <c r="AE8" s="418" t="s">
        <v>159</v>
      </c>
      <c r="AF8" s="129"/>
      <c r="AG8" s="129"/>
      <c r="AH8" s="129"/>
      <c r="AI8" s="129"/>
      <c r="AJ8" s="129"/>
      <c r="AK8" s="129"/>
      <c r="AL8" s="129"/>
      <c r="AM8" s="391"/>
      <c r="AN8" s="129"/>
      <c r="AO8" s="129"/>
      <c r="AP8" s="129"/>
      <c r="AQ8" s="391"/>
      <c r="AR8" s="129">
        <v>0</v>
      </c>
      <c r="AS8" s="129">
        <v>0</v>
      </c>
      <c r="AT8" s="129">
        <v>0</v>
      </c>
      <c r="AU8" s="391"/>
      <c r="AV8" s="129">
        <f t="shared" ref="AV8:AW8" si="7">AV9/AV10*100</f>
        <v>0</v>
      </c>
      <c r="AW8" s="129">
        <f t="shared" si="7"/>
        <v>0</v>
      </c>
      <c r="AX8" s="129">
        <f t="shared" ref="AX8:AX13" si="8">AW8-AV8</f>
        <v>0</v>
      </c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>
        <v>0</v>
      </c>
      <c r="BM8" s="129">
        <v>5.1724137931034484</v>
      </c>
      <c r="BN8" s="129">
        <v>5.1724137931034484</v>
      </c>
      <c r="BO8" s="399" t="s">
        <v>162</v>
      </c>
      <c r="BP8" s="129">
        <f t="shared" ref="BP8:BQ8" si="9">BP9/BP10*100</f>
        <v>0</v>
      </c>
      <c r="BQ8" s="129">
        <f t="shared" si="9"/>
        <v>0</v>
      </c>
      <c r="BR8" s="129">
        <f t="shared" ref="BR8:BR13" si="10">BQ8-BP8</f>
        <v>0</v>
      </c>
      <c r="BS8" s="418" t="s">
        <v>162</v>
      </c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>
        <f t="shared" ref="CF8:CG8" si="11">CF9/CF10*100</f>
        <v>0</v>
      </c>
      <c r="CG8" s="129">
        <f t="shared" si="11"/>
        <v>2.7777777777777777</v>
      </c>
      <c r="CH8" s="129">
        <f>CG8-CF8</f>
        <v>2.7777777777777777</v>
      </c>
      <c r="CI8" s="129"/>
      <c r="CJ8" s="129">
        <f t="shared" si="3"/>
        <v>0</v>
      </c>
      <c r="CK8" s="129">
        <f t="shared" si="3"/>
        <v>1.7241379310344827</v>
      </c>
      <c r="CL8" s="129">
        <f>CK8-CJ8</f>
        <v>1.7241379310344827</v>
      </c>
      <c r="CM8" s="247"/>
      <c r="CN8" s="129"/>
      <c r="CO8" s="129"/>
      <c r="CP8" s="129"/>
      <c r="CQ8" s="399"/>
      <c r="CR8" s="129"/>
      <c r="CS8" s="129"/>
      <c r="CT8" s="129"/>
      <c r="CU8" s="129"/>
      <c r="CV8" s="129"/>
      <c r="CW8" s="129"/>
      <c r="CX8" s="129"/>
      <c r="CY8" s="129"/>
      <c r="CZ8" s="129">
        <f t="shared" si="3"/>
        <v>0</v>
      </c>
      <c r="DA8" s="129">
        <f t="shared" si="3"/>
        <v>0</v>
      </c>
      <c r="DB8" s="129">
        <f t="shared" ref="DB8:DB13" si="12">DA8-CZ8</f>
        <v>0</v>
      </c>
      <c r="DC8" s="129"/>
      <c r="DD8" s="116">
        <v>0</v>
      </c>
      <c r="DE8" s="116">
        <v>19.350000000000001</v>
      </c>
      <c r="DF8" s="129">
        <f>DE8-DD8</f>
        <v>19.350000000000001</v>
      </c>
      <c r="DG8" s="117"/>
      <c r="DH8" s="116"/>
      <c r="DI8" s="116"/>
      <c r="DJ8" s="116"/>
      <c r="DK8" s="117"/>
      <c r="DL8" s="129"/>
      <c r="DM8" s="116"/>
      <c r="DN8" s="116"/>
      <c r="DO8" s="117"/>
      <c r="DP8" s="129"/>
      <c r="DQ8" s="129"/>
      <c r="DR8" s="129"/>
      <c r="DS8" s="129"/>
      <c r="DU8" s="129">
        <f t="shared" ref="DU8:DV8" si="13">DU9/DU10*100</f>
        <v>0</v>
      </c>
      <c r="DV8" s="129">
        <f t="shared" si="13"/>
        <v>3.511705685618729</v>
      </c>
    </row>
    <row r="9" spans="1:126" ht="53.25" customHeight="1" x14ac:dyDescent="0.2">
      <c r="A9" s="131" t="s">
        <v>30</v>
      </c>
      <c r="B9" s="246" t="s">
        <v>187</v>
      </c>
      <c r="C9" s="106" t="s">
        <v>50</v>
      </c>
      <c r="D9" s="116">
        <v>0</v>
      </c>
      <c r="E9" s="116">
        <f>16+2+21+9+4+3</f>
        <v>55</v>
      </c>
      <c r="F9" s="129">
        <f>E9-D9</f>
        <v>55</v>
      </c>
      <c r="G9" s="398"/>
      <c r="H9" s="116">
        <v>0</v>
      </c>
      <c r="I9" s="116">
        <v>26</v>
      </c>
      <c r="J9" s="129">
        <f t="shared" si="2"/>
        <v>26</v>
      </c>
      <c r="K9" s="401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>
        <v>0</v>
      </c>
      <c r="Y9" s="116">
        <v>14</v>
      </c>
      <c r="Z9" s="116">
        <f t="shared" si="4"/>
        <v>14</v>
      </c>
      <c r="AA9" s="401"/>
      <c r="AB9" s="116">
        <v>0</v>
      </c>
      <c r="AC9" s="116">
        <v>15</v>
      </c>
      <c r="AD9" s="129">
        <f t="shared" si="6"/>
        <v>15</v>
      </c>
      <c r="AE9" s="419"/>
      <c r="AF9" s="116"/>
      <c r="AG9" s="116"/>
      <c r="AH9" s="116"/>
      <c r="AI9" s="117"/>
      <c r="AJ9" s="116"/>
      <c r="AK9" s="116"/>
      <c r="AL9" s="129"/>
      <c r="AM9" s="391"/>
      <c r="AN9" s="116"/>
      <c r="AO9" s="116"/>
      <c r="AP9" s="129"/>
      <c r="AQ9" s="391"/>
      <c r="AR9" s="116">
        <v>0</v>
      </c>
      <c r="AS9" s="116">
        <v>0</v>
      </c>
      <c r="AT9" s="129">
        <v>0</v>
      </c>
      <c r="AU9" s="391"/>
      <c r="AV9" s="116">
        <v>0</v>
      </c>
      <c r="AW9" s="116">
        <v>0</v>
      </c>
      <c r="AX9" s="116">
        <f t="shared" si="8"/>
        <v>0</v>
      </c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29"/>
      <c r="BK9" s="116"/>
      <c r="BL9" s="116">
        <v>0</v>
      </c>
      <c r="BM9" s="116">
        <v>6</v>
      </c>
      <c r="BN9" s="129">
        <v>6</v>
      </c>
      <c r="BO9" s="399"/>
      <c r="BP9" s="116">
        <v>0</v>
      </c>
      <c r="BQ9" s="116">
        <v>0</v>
      </c>
      <c r="BR9" s="129">
        <f t="shared" si="10"/>
        <v>0</v>
      </c>
      <c r="BS9" s="419"/>
      <c r="BT9" s="116"/>
      <c r="BU9" s="116"/>
      <c r="BV9" s="116"/>
      <c r="BW9" s="117"/>
      <c r="BX9" s="116"/>
      <c r="BY9" s="116"/>
      <c r="BZ9" s="116"/>
      <c r="CA9" s="117"/>
      <c r="CB9" s="116"/>
      <c r="CC9" s="116"/>
      <c r="CD9" s="116"/>
      <c r="CE9" s="117"/>
      <c r="CF9" s="116">
        <v>0</v>
      </c>
      <c r="CG9" s="116">
        <v>1</v>
      </c>
      <c r="CH9" s="129">
        <f>CG9-CF9</f>
        <v>1</v>
      </c>
      <c r="CI9" s="116"/>
      <c r="CJ9" s="116">
        <v>0</v>
      </c>
      <c r="CK9" s="116">
        <v>1</v>
      </c>
      <c r="CL9" s="129">
        <f>CK9-CJ9</f>
        <v>1</v>
      </c>
      <c r="CM9" s="247"/>
      <c r="CN9" s="116"/>
      <c r="CO9" s="116"/>
      <c r="CP9" s="129"/>
      <c r="CQ9" s="399"/>
      <c r="CR9" s="116"/>
      <c r="CS9" s="116"/>
      <c r="CT9" s="116"/>
      <c r="CU9" s="116"/>
      <c r="CV9" s="116"/>
      <c r="CW9" s="116"/>
      <c r="CX9" s="116"/>
      <c r="CY9" s="117"/>
      <c r="CZ9" s="116">
        <v>0</v>
      </c>
      <c r="DA9" s="116">
        <v>0</v>
      </c>
      <c r="DB9" s="116">
        <f t="shared" si="12"/>
        <v>0</v>
      </c>
      <c r="DC9" s="117"/>
      <c r="DD9" s="116">
        <f>DA9</f>
        <v>0</v>
      </c>
      <c r="DE9" s="116">
        <v>0</v>
      </c>
      <c r="DF9" s="129">
        <f>DE9-DD9</f>
        <v>0</v>
      </c>
      <c r="DG9" s="117"/>
      <c r="DH9" s="116"/>
      <c r="DI9" s="116"/>
      <c r="DJ9" s="116"/>
      <c r="DK9" s="117"/>
      <c r="DL9" s="116"/>
      <c r="DM9" s="116"/>
      <c r="DN9" s="116"/>
      <c r="DO9" s="117"/>
      <c r="DP9" s="116"/>
      <c r="DQ9" s="116"/>
      <c r="DR9" s="116"/>
      <c r="DS9" s="116"/>
      <c r="DU9" s="420">
        <f>H9+AB9+AV9+BP9+CJ9+DD9</f>
        <v>0</v>
      </c>
      <c r="DV9" s="420">
        <f>I9+AC9+AW9+BQ9+CK9+DE9</f>
        <v>42</v>
      </c>
    </row>
    <row r="10" spans="1:126" ht="197.25" customHeight="1" x14ac:dyDescent="0.2">
      <c r="A10" s="131" t="s">
        <v>31</v>
      </c>
      <c r="B10" s="137" t="s">
        <v>49</v>
      </c>
      <c r="C10" s="106" t="s">
        <v>50</v>
      </c>
      <c r="D10" s="116">
        <v>1348</v>
      </c>
      <c r="E10" s="116">
        <v>843</v>
      </c>
      <c r="F10" s="129">
        <f>E10-D10</f>
        <v>-505</v>
      </c>
      <c r="G10" s="116" t="s">
        <v>160</v>
      </c>
      <c r="H10" s="116">
        <v>1348</v>
      </c>
      <c r="I10" s="116">
        <v>640</v>
      </c>
      <c r="J10" s="129">
        <f t="shared" si="2"/>
        <v>-708</v>
      </c>
      <c r="K10" s="116" t="s">
        <v>160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>
        <v>469</v>
      </c>
      <c r="Y10" s="116">
        <v>274</v>
      </c>
      <c r="Z10" s="116">
        <f t="shared" si="4"/>
        <v>-195</v>
      </c>
      <c r="AA10" s="117" t="s">
        <v>161</v>
      </c>
      <c r="AB10" s="116">
        <v>469</v>
      </c>
      <c r="AC10" s="116">
        <v>254</v>
      </c>
      <c r="AD10" s="129">
        <f t="shared" si="6"/>
        <v>-215</v>
      </c>
      <c r="AE10" s="116" t="s">
        <v>161</v>
      </c>
      <c r="AF10" s="116"/>
      <c r="AG10" s="116"/>
      <c r="AH10" s="116"/>
      <c r="AI10" s="117"/>
      <c r="AJ10" s="116"/>
      <c r="AK10" s="116"/>
      <c r="AL10" s="129"/>
      <c r="AM10" s="116"/>
      <c r="AN10" s="116"/>
      <c r="AO10" s="116"/>
      <c r="AP10" s="129"/>
      <c r="AQ10" s="116"/>
      <c r="AR10" s="116">
        <v>80</v>
      </c>
      <c r="AS10" s="116">
        <v>36</v>
      </c>
      <c r="AT10" s="129">
        <v>-44</v>
      </c>
      <c r="AU10" s="116" t="s">
        <v>184</v>
      </c>
      <c r="AV10" s="116">
        <v>80</v>
      </c>
      <c r="AW10" s="116">
        <v>68</v>
      </c>
      <c r="AX10" s="116">
        <f t="shared" si="8"/>
        <v>-12</v>
      </c>
      <c r="AY10" s="116" t="s">
        <v>184</v>
      </c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29"/>
      <c r="BK10" s="116"/>
      <c r="BL10" s="116">
        <v>200</v>
      </c>
      <c r="BM10" s="116">
        <v>116</v>
      </c>
      <c r="BN10" s="129">
        <v>-84</v>
      </c>
      <c r="BO10" s="117" t="s">
        <v>185</v>
      </c>
      <c r="BP10" s="116">
        <v>200</v>
      </c>
      <c r="BQ10" s="116">
        <v>120</v>
      </c>
      <c r="BR10" s="129">
        <f t="shared" si="10"/>
        <v>-80</v>
      </c>
      <c r="BS10" s="116" t="s">
        <v>185</v>
      </c>
      <c r="BT10" s="116"/>
      <c r="BU10" s="116"/>
      <c r="BV10" s="116"/>
      <c r="BW10" s="117"/>
      <c r="BX10" s="116"/>
      <c r="BY10" s="116"/>
      <c r="BZ10" s="116"/>
      <c r="CA10" s="117"/>
      <c r="CB10" s="116"/>
      <c r="CC10" s="116"/>
      <c r="CD10" s="116"/>
      <c r="CE10" s="117"/>
      <c r="CF10" s="116">
        <v>80</v>
      </c>
      <c r="CG10" s="116">
        <v>36</v>
      </c>
      <c r="CH10" s="129">
        <f>CG10-CF10</f>
        <v>-44</v>
      </c>
      <c r="CI10" s="116" t="s">
        <v>165</v>
      </c>
      <c r="CJ10" s="116">
        <v>80</v>
      </c>
      <c r="CK10" s="116">
        <v>58</v>
      </c>
      <c r="CL10" s="129">
        <f>CK10-CJ10</f>
        <v>-22</v>
      </c>
      <c r="CM10" s="116" t="s">
        <v>163</v>
      </c>
      <c r="CN10" s="116"/>
      <c r="CO10" s="116"/>
      <c r="CP10" s="129"/>
      <c r="CQ10" s="117"/>
      <c r="CR10" s="116"/>
      <c r="CS10" s="116"/>
      <c r="CT10" s="116"/>
      <c r="CU10" s="116"/>
      <c r="CV10" s="116"/>
      <c r="CW10" s="116"/>
      <c r="CX10" s="116"/>
      <c r="CY10" s="117"/>
      <c r="CZ10" s="116">
        <v>68</v>
      </c>
      <c r="DA10" s="116">
        <v>46</v>
      </c>
      <c r="DB10" s="116">
        <f t="shared" si="12"/>
        <v>-22</v>
      </c>
      <c r="DC10" s="116" t="s">
        <v>233</v>
      </c>
      <c r="DD10" s="129">
        <v>68</v>
      </c>
      <c r="DE10" s="129">
        <v>56</v>
      </c>
      <c r="DF10" s="129">
        <f>DE10-DD10</f>
        <v>-12</v>
      </c>
      <c r="DG10" s="116" t="s">
        <v>233</v>
      </c>
      <c r="DH10" s="129"/>
      <c r="DI10" s="129"/>
      <c r="DJ10" s="129"/>
      <c r="DK10" s="116"/>
      <c r="DL10" s="116"/>
      <c r="DM10" s="129"/>
      <c r="DN10" s="129"/>
      <c r="DO10" s="116"/>
      <c r="DP10" s="116"/>
      <c r="DQ10" s="116"/>
      <c r="DR10" s="116"/>
      <c r="DS10" s="116"/>
      <c r="DU10" s="420">
        <f>H10+AB10+AV10+BP10+CJ10+DD10</f>
        <v>2245</v>
      </c>
      <c r="DV10" s="420">
        <f>I10+AC10+AW10+BQ10+CK10+DE10</f>
        <v>1196</v>
      </c>
    </row>
    <row r="11" spans="1:126" s="115" customFormat="1" ht="68.25" customHeight="1" x14ac:dyDescent="0.2">
      <c r="A11" s="131" t="s">
        <v>54</v>
      </c>
      <c r="B11" s="246" t="s">
        <v>48</v>
      </c>
      <c r="C11" s="106" t="s">
        <v>4</v>
      </c>
      <c r="D11" s="129">
        <f t="shared" ref="D11" si="14">D12/D13*100</f>
        <v>2.6809651474530831</v>
      </c>
      <c r="E11" s="129">
        <f>E12/E13*100</f>
        <v>2.1003500583430572</v>
      </c>
      <c r="F11" s="129">
        <f t="shared" ref="F11:F12" si="15">E11-D11</f>
        <v>-0.58061508911002591</v>
      </c>
      <c r="G11" s="398"/>
      <c r="H11" s="129">
        <f t="shared" ref="H11:I11" si="16">H12/H13*100</f>
        <v>2.6809651474530831</v>
      </c>
      <c r="I11" s="129">
        <f t="shared" si="16"/>
        <v>0.4464285714285714</v>
      </c>
      <c r="J11" s="129">
        <f t="shared" si="2"/>
        <v>-2.2345365760245119</v>
      </c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29">
        <f t="shared" ref="X11:DA11" si="17">X12/X13*100</f>
        <v>0</v>
      </c>
      <c r="Y11" s="129">
        <f t="shared" si="17"/>
        <v>10.416666666666668</v>
      </c>
      <c r="Z11" s="129">
        <f t="shared" si="4"/>
        <v>10.416666666666668</v>
      </c>
      <c r="AA11" s="402" t="s">
        <v>183</v>
      </c>
      <c r="AB11" s="129">
        <f t="shared" ref="AB11:AC11" si="18">AB12/AB13*100</f>
        <v>0</v>
      </c>
      <c r="AC11" s="129">
        <f t="shared" si="18"/>
        <v>20.547945205479451</v>
      </c>
      <c r="AD11" s="129">
        <f t="shared" si="6"/>
        <v>20.547945205479451</v>
      </c>
      <c r="AE11" s="418" t="s">
        <v>183</v>
      </c>
      <c r="AF11" s="129"/>
      <c r="AG11" s="129"/>
      <c r="AH11" s="129"/>
      <c r="AI11" s="126"/>
      <c r="AJ11" s="129"/>
      <c r="AK11" s="129"/>
      <c r="AL11" s="129"/>
      <c r="AM11" s="391"/>
      <c r="AN11" s="129"/>
      <c r="AO11" s="129"/>
      <c r="AP11" s="129"/>
      <c r="AQ11" s="391"/>
      <c r="AR11" s="129">
        <v>0</v>
      </c>
      <c r="AS11" s="129">
        <v>0</v>
      </c>
      <c r="AT11" s="129">
        <v>0</v>
      </c>
      <c r="AU11" s="391"/>
      <c r="AV11" s="129">
        <f t="shared" ref="AV11:AW11" si="19">AV12/AV13*100</f>
        <v>0</v>
      </c>
      <c r="AW11" s="129">
        <f t="shared" si="19"/>
        <v>0</v>
      </c>
      <c r="AX11" s="129">
        <f t="shared" si="8"/>
        <v>0</v>
      </c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>
        <v>0</v>
      </c>
      <c r="BM11" s="129">
        <v>2.5641025641025639</v>
      </c>
      <c r="BN11" s="129">
        <v>2.5641025641025639</v>
      </c>
      <c r="BO11" s="399" t="s">
        <v>164</v>
      </c>
      <c r="BP11" s="129">
        <f t="shared" ref="BP11:BQ11" si="20">BP12/BP13*100</f>
        <v>0</v>
      </c>
      <c r="BQ11" s="129">
        <f t="shared" si="20"/>
        <v>0</v>
      </c>
      <c r="BR11" s="129">
        <f t="shared" si="10"/>
        <v>0</v>
      </c>
      <c r="BS11" s="418" t="s">
        <v>164</v>
      </c>
      <c r="BT11" s="129"/>
      <c r="BU11" s="129"/>
      <c r="BV11" s="129"/>
      <c r="BW11" s="126"/>
      <c r="BX11" s="129"/>
      <c r="BY11" s="129"/>
      <c r="BZ11" s="129"/>
      <c r="CA11" s="126"/>
      <c r="CB11" s="129"/>
      <c r="CC11" s="129"/>
      <c r="CD11" s="129"/>
      <c r="CE11" s="126"/>
      <c r="CF11" s="129">
        <f t="shared" ref="CF11:CG11" si="21">CF12/CF13*100</f>
        <v>0</v>
      </c>
      <c r="CG11" s="129">
        <f t="shared" si="21"/>
        <v>0</v>
      </c>
      <c r="CH11" s="129">
        <f t="shared" ref="CH11:CH13" si="22">CG11-CF11</f>
        <v>0</v>
      </c>
      <c r="CI11" s="129"/>
      <c r="CJ11" s="129">
        <f t="shared" si="17"/>
        <v>0</v>
      </c>
      <c r="CK11" s="129">
        <f t="shared" si="17"/>
        <v>0</v>
      </c>
      <c r="CL11" s="129">
        <f t="shared" ref="CL11:CL16" si="23">CK11-CJ11</f>
        <v>0</v>
      </c>
      <c r="CM11" s="247"/>
      <c r="CN11" s="129"/>
      <c r="CO11" s="129"/>
      <c r="CP11" s="129"/>
      <c r="CQ11" s="399"/>
      <c r="CR11" s="129"/>
      <c r="CS11" s="129"/>
      <c r="CT11" s="129"/>
      <c r="CU11" s="129"/>
      <c r="CV11" s="129"/>
      <c r="CW11" s="129"/>
      <c r="CX11" s="129"/>
      <c r="CY11" s="126"/>
      <c r="CZ11" s="129">
        <f t="shared" si="17"/>
        <v>0</v>
      </c>
      <c r="DA11" s="129">
        <f t="shared" si="17"/>
        <v>0</v>
      </c>
      <c r="DB11" s="129">
        <f t="shared" si="12"/>
        <v>0</v>
      </c>
      <c r="DC11" s="126"/>
      <c r="DD11" s="116">
        <f>DA11</f>
        <v>0</v>
      </c>
      <c r="DE11" s="116">
        <v>0</v>
      </c>
      <c r="DF11" s="129">
        <f t="shared" ref="DF11:DF16" si="24">DE11-DD11</f>
        <v>0</v>
      </c>
      <c r="DG11" s="391"/>
      <c r="DH11" s="116"/>
      <c r="DI11" s="120"/>
      <c r="DJ11" s="116"/>
      <c r="DK11" s="391"/>
      <c r="DL11" s="129"/>
      <c r="DM11" s="120"/>
      <c r="DN11" s="116"/>
      <c r="DO11" s="391"/>
      <c r="DP11" s="129"/>
      <c r="DQ11" s="129"/>
      <c r="DR11" s="129"/>
      <c r="DS11" s="129"/>
      <c r="DU11" s="129">
        <f t="shared" ref="DU11:DV11" si="25">DU12/DU13*100</f>
        <v>1.6638935108153077</v>
      </c>
      <c r="DV11" s="129">
        <f t="shared" si="25"/>
        <v>3.0499075785582255</v>
      </c>
    </row>
    <row r="12" spans="1:126" ht="78.75" x14ac:dyDescent="0.2">
      <c r="A12" s="131" t="s">
        <v>32</v>
      </c>
      <c r="B12" s="246" t="s">
        <v>188</v>
      </c>
      <c r="C12" s="106" t="s">
        <v>50</v>
      </c>
      <c r="D12" s="116">
        <v>20</v>
      </c>
      <c r="E12" s="116">
        <f>0+16+2</f>
        <v>18</v>
      </c>
      <c r="F12" s="129">
        <f t="shared" si="15"/>
        <v>-2</v>
      </c>
      <c r="G12" s="398"/>
      <c r="H12" s="116">
        <v>20</v>
      </c>
      <c r="I12" s="116">
        <v>3</v>
      </c>
      <c r="J12" s="129">
        <f t="shared" si="2"/>
        <v>-17</v>
      </c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>
        <v>0</v>
      </c>
      <c r="Y12" s="116">
        <v>20</v>
      </c>
      <c r="Z12" s="116">
        <f t="shared" si="4"/>
        <v>20</v>
      </c>
      <c r="AA12" s="403"/>
      <c r="AB12" s="116">
        <v>0</v>
      </c>
      <c r="AC12" s="116">
        <v>30</v>
      </c>
      <c r="AD12" s="129">
        <f t="shared" si="6"/>
        <v>30</v>
      </c>
      <c r="AE12" s="419"/>
      <c r="AF12" s="116"/>
      <c r="AG12" s="116"/>
      <c r="AH12" s="116"/>
      <c r="AI12" s="117"/>
      <c r="AJ12" s="116"/>
      <c r="AK12" s="116"/>
      <c r="AL12" s="129"/>
      <c r="AM12" s="391"/>
      <c r="AN12" s="116"/>
      <c r="AO12" s="116"/>
      <c r="AP12" s="129"/>
      <c r="AQ12" s="391"/>
      <c r="AR12" s="116">
        <v>0</v>
      </c>
      <c r="AS12" s="116">
        <v>0</v>
      </c>
      <c r="AT12" s="129">
        <v>0</v>
      </c>
      <c r="AU12" s="391"/>
      <c r="AV12" s="116">
        <v>0</v>
      </c>
      <c r="AW12" s="116">
        <v>0</v>
      </c>
      <c r="AX12" s="116">
        <f t="shared" si="8"/>
        <v>0</v>
      </c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29"/>
      <c r="BK12" s="116"/>
      <c r="BL12" s="116">
        <v>0</v>
      </c>
      <c r="BM12" s="116">
        <v>2</v>
      </c>
      <c r="BN12" s="129">
        <v>2</v>
      </c>
      <c r="BO12" s="399"/>
      <c r="BP12" s="116">
        <v>0</v>
      </c>
      <c r="BQ12" s="116">
        <v>0</v>
      </c>
      <c r="BR12" s="129">
        <f t="shared" si="10"/>
        <v>0</v>
      </c>
      <c r="BS12" s="419"/>
      <c r="BT12" s="116"/>
      <c r="BU12" s="116"/>
      <c r="BV12" s="116"/>
      <c r="BW12" s="117"/>
      <c r="BX12" s="116"/>
      <c r="BY12" s="116"/>
      <c r="BZ12" s="116"/>
      <c r="CA12" s="117"/>
      <c r="CB12" s="116"/>
      <c r="CC12" s="116"/>
      <c r="CD12" s="116"/>
      <c r="CE12" s="117"/>
      <c r="CF12" s="116">
        <v>0</v>
      </c>
      <c r="CG12" s="116">
        <v>0</v>
      </c>
      <c r="CH12" s="129">
        <f t="shared" si="22"/>
        <v>0</v>
      </c>
      <c r="CI12" s="116"/>
      <c r="CJ12" s="116">
        <v>0</v>
      </c>
      <c r="CK12" s="116">
        <v>0</v>
      </c>
      <c r="CL12" s="129">
        <f t="shared" si="23"/>
        <v>0</v>
      </c>
      <c r="CM12" s="247"/>
      <c r="CN12" s="116"/>
      <c r="CO12" s="116"/>
      <c r="CP12" s="129"/>
      <c r="CQ12" s="399"/>
      <c r="CR12" s="116"/>
      <c r="CS12" s="116"/>
      <c r="CT12" s="116"/>
      <c r="CU12" s="116"/>
      <c r="CV12" s="116"/>
      <c r="CW12" s="116"/>
      <c r="CX12" s="116"/>
      <c r="CY12" s="117"/>
      <c r="CZ12" s="116">
        <f>CR12</f>
        <v>0</v>
      </c>
      <c r="DA12" s="116">
        <v>0</v>
      </c>
      <c r="DB12" s="116">
        <f t="shared" si="12"/>
        <v>0</v>
      </c>
      <c r="DC12" s="117"/>
      <c r="DD12" s="116">
        <f>DA12</f>
        <v>0</v>
      </c>
      <c r="DE12" s="116">
        <v>0</v>
      </c>
      <c r="DF12" s="129">
        <f t="shared" si="24"/>
        <v>0</v>
      </c>
      <c r="DG12" s="391"/>
      <c r="DH12" s="116"/>
      <c r="DI12" s="116"/>
      <c r="DJ12" s="116"/>
      <c r="DK12" s="391"/>
      <c r="DL12" s="116"/>
      <c r="DM12" s="116"/>
      <c r="DN12" s="116"/>
      <c r="DO12" s="391"/>
      <c r="DP12" s="116"/>
      <c r="DQ12" s="116"/>
      <c r="DR12" s="116"/>
      <c r="DS12" s="116"/>
      <c r="DU12" s="420">
        <f t="shared" ref="DU12:DU13" si="26">H12+AB12+AV12+BP12+CJ12+DD12</f>
        <v>20</v>
      </c>
      <c r="DV12" s="420">
        <f t="shared" ref="DV12:DV13" si="27">I12+AC12+AW12+BQ12+CK12+DE12</f>
        <v>33</v>
      </c>
    </row>
    <row r="13" spans="1:126" ht="31.5" x14ac:dyDescent="0.2">
      <c r="A13" s="131" t="s">
        <v>52</v>
      </c>
      <c r="B13" s="137" t="s">
        <v>49</v>
      </c>
      <c r="C13" s="106" t="s">
        <v>50</v>
      </c>
      <c r="D13" s="116">
        <v>746</v>
      </c>
      <c r="E13" s="116">
        <v>857</v>
      </c>
      <c r="F13" s="129">
        <v>111</v>
      </c>
      <c r="G13" s="116" t="s">
        <v>158</v>
      </c>
      <c r="H13" s="116">
        <v>746</v>
      </c>
      <c r="I13" s="116">
        <v>672</v>
      </c>
      <c r="J13" s="129">
        <f t="shared" si="2"/>
        <v>-74</v>
      </c>
      <c r="K13" s="116" t="s">
        <v>158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>
        <v>192</v>
      </c>
      <c r="Y13" s="116">
        <v>192</v>
      </c>
      <c r="Z13" s="116">
        <f t="shared" si="4"/>
        <v>0</v>
      </c>
      <c r="AA13" s="117"/>
      <c r="AB13" s="116">
        <v>192</v>
      </c>
      <c r="AC13" s="116">
        <v>146</v>
      </c>
      <c r="AD13" s="129">
        <f t="shared" si="6"/>
        <v>-46</v>
      </c>
      <c r="AE13" s="117"/>
      <c r="AF13" s="116"/>
      <c r="AG13" s="116"/>
      <c r="AH13" s="116"/>
      <c r="AI13" s="117"/>
      <c r="AJ13" s="116"/>
      <c r="AK13" s="116"/>
      <c r="AL13" s="129"/>
      <c r="AM13" s="116"/>
      <c r="AN13" s="116"/>
      <c r="AO13" s="116"/>
      <c r="AP13" s="129"/>
      <c r="AQ13" s="117"/>
      <c r="AR13" s="116">
        <v>48</v>
      </c>
      <c r="AS13" s="116">
        <v>44</v>
      </c>
      <c r="AT13" s="129">
        <v>-4</v>
      </c>
      <c r="AU13" s="117"/>
      <c r="AV13" s="116">
        <v>48</v>
      </c>
      <c r="AW13" s="116">
        <v>48</v>
      </c>
      <c r="AX13" s="116">
        <f t="shared" si="8"/>
        <v>0</v>
      </c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29"/>
      <c r="BK13" s="116"/>
      <c r="BL13" s="116">
        <v>72</v>
      </c>
      <c r="BM13" s="116">
        <v>78</v>
      </c>
      <c r="BN13" s="129">
        <v>6</v>
      </c>
      <c r="BO13" s="247"/>
      <c r="BP13" s="116">
        <v>72</v>
      </c>
      <c r="BQ13" s="116">
        <v>72</v>
      </c>
      <c r="BR13" s="129">
        <f t="shared" si="10"/>
        <v>0</v>
      </c>
      <c r="BS13" s="116"/>
      <c r="BT13" s="116"/>
      <c r="BU13" s="116"/>
      <c r="BV13" s="116"/>
      <c r="BW13" s="117"/>
      <c r="BX13" s="116"/>
      <c r="BY13" s="116"/>
      <c r="BZ13" s="116"/>
      <c r="CA13" s="117"/>
      <c r="CB13" s="116"/>
      <c r="CC13" s="116"/>
      <c r="CD13" s="116"/>
      <c r="CE13" s="117"/>
      <c r="CF13" s="116">
        <v>72</v>
      </c>
      <c r="CG13" s="116">
        <v>60</v>
      </c>
      <c r="CH13" s="129">
        <f t="shared" si="22"/>
        <v>-12</v>
      </c>
      <c r="CI13" s="117"/>
      <c r="CJ13" s="116">
        <v>72</v>
      </c>
      <c r="CK13" s="116">
        <v>72</v>
      </c>
      <c r="CL13" s="129">
        <f t="shared" si="23"/>
        <v>0</v>
      </c>
      <c r="CM13" s="247"/>
      <c r="CN13" s="116"/>
      <c r="CO13" s="116"/>
      <c r="CP13" s="129"/>
      <c r="CQ13" s="247"/>
      <c r="CR13" s="116"/>
      <c r="CS13" s="116"/>
      <c r="CT13" s="116"/>
      <c r="CU13" s="117"/>
      <c r="CV13" s="116"/>
      <c r="CW13" s="116"/>
      <c r="CX13" s="116"/>
      <c r="CY13" s="117" t="s">
        <v>157</v>
      </c>
      <c r="CZ13" s="116">
        <v>72</v>
      </c>
      <c r="DA13" s="116">
        <v>48</v>
      </c>
      <c r="DB13" s="116">
        <f t="shared" si="12"/>
        <v>-24</v>
      </c>
      <c r="DC13" s="117"/>
      <c r="DD13" s="116">
        <f>CJ13</f>
        <v>72</v>
      </c>
      <c r="DE13" s="116">
        <v>72</v>
      </c>
      <c r="DF13" s="129">
        <f t="shared" si="24"/>
        <v>0</v>
      </c>
      <c r="DG13" s="116"/>
      <c r="DH13" s="116"/>
      <c r="DI13" s="116"/>
      <c r="DJ13" s="117"/>
      <c r="DK13" s="116"/>
      <c r="DL13" s="116"/>
      <c r="DM13" s="116"/>
      <c r="DN13" s="117"/>
      <c r="DO13" s="116"/>
      <c r="DP13" s="116"/>
      <c r="DQ13" s="116"/>
      <c r="DR13" s="116"/>
      <c r="DS13" s="116"/>
      <c r="DU13" s="420">
        <f t="shared" si="26"/>
        <v>1202</v>
      </c>
      <c r="DV13" s="420">
        <f t="shared" si="27"/>
        <v>1082</v>
      </c>
    </row>
    <row r="14" spans="1:126" ht="17.25" customHeight="1" x14ac:dyDescent="0.2">
      <c r="A14" s="114" t="s">
        <v>55</v>
      </c>
      <c r="B14" s="409" t="s">
        <v>37</v>
      </c>
      <c r="C14" s="409"/>
      <c r="D14" s="409"/>
      <c r="E14" s="409"/>
      <c r="F14" s="409"/>
      <c r="G14" s="409"/>
      <c r="H14" s="409"/>
      <c r="I14" s="409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  <c r="V14" s="409"/>
      <c r="W14" s="409"/>
      <c r="X14" s="409"/>
      <c r="Y14" s="409"/>
      <c r="Z14" s="409"/>
      <c r="AA14" s="409"/>
      <c r="AB14" s="409"/>
      <c r="AC14" s="409"/>
      <c r="AD14" s="409"/>
      <c r="AE14" s="409"/>
      <c r="AF14" s="409"/>
      <c r="AG14" s="409"/>
      <c r="AH14" s="409"/>
      <c r="AI14" s="409"/>
      <c r="AJ14" s="409"/>
      <c r="AK14" s="409"/>
      <c r="AL14" s="409"/>
      <c r="AM14" s="409"/>
      <c r="AN14" s="409"/>
      <c r="AO14" s="409"/>
      <c r="AP14" s="409"/>
      <c r="AQ14" s="409"/>
      <c r="AR14" s="409"/>
      <c r="AS14" s="409"/>
      <c r="AT14" s="409"/>
      <c r="AU14" s="409"/>
      <c r="AV14" s="409"/>
      <c r="AW14" s="409"/>
      <c r="AX14" s="409"/>
      <c r="AY14" s="409"/>
      <c r="AZ14" s="409"/>
      <c r="BA14" s="409"/>
      <c r="BB14" s="409"/>
      <c r="BC14" s="409"/>
      <c r="BD14" s="409"/>
      <c r="BE14" s="409"/>
      <c r="BF14" s="409"/>
      <c r="BG14" s="409"/>
      <c r="BH14" s="409"/>
      <c r="BI14" s="409"/>
      <c r="BJ14" s="409"/>
      <c r="BK14" s="409"/>
      <c r="BL14" s="409"/>
      <c r="BM14" s="409"/>
      <c r="BN14" s="409"/>
      <c r="BO14" s="409"/>
      <c r="BP14" s="409"/>
      <c r="BQ14" s="409"/>
      <c r="BR14" s="409"/>
      <c r="BS14" s="409"/>
      <c r="BT14" s="409"/>
      <c r="BU14" s="409"/>
      <c r="BV14" s="409"/>
      <c r="BW14" s="409"/>
      <c r="BX14" s="409"/>
      <c r="BY14" s="409"/>
      <c r="BZ14" s="409"/>
      <c r="CA14" s="409"/>
      <c r="CB14" s="409"/>
      <c r="CC14" s="409"/>
      <c r="CD14" s="409"/>
      <c r="CE14" s="409"/>
      <c r="CF14" s="409"/>
      <c r="CG14" s="409"/>
      <c r="CH14" s="409"/>
      <c r="CI14" s="409"/>
      <c r="CJ14" s="409"/>
      <c r="CK14" s="409"/>
      <c r="CL14" s="409"/>
      <c r="CM14" s="409"/>
      <c r="CN14" s="409"/>
      <c r="CO14" s="409"/>
      <c r="CP14" s="409"/>
      <c r="CQ14" s="409"/>
      <c r="CR14" s="409"/>
      <c r="CS14" s="409"/>
      <c r="CT14" s="409"/>
      <c r="CU14" s="409"/>
      <c r="CV14" s="409"/>
      <c r="CW14" s="409"/>
      <c r="CX14" s="409"/>
      <c r="CY14" s="409"/>
      <c r="CZ14" s="409"/>
      <c r="DA14" s="409"/>
      <c r="DB14" s="409"/>
      <c r="DC14" s="409"/>
      <c r="DD14" s="409"/>
      <c r="DE14" s="409"/>
      <c r="DF14" s="409"/>
      <c r="DG14" s="409"/>
      <c r="DH14" s="409"/>
      <c r="DI14" s="409"/>
      <c r="DJ14" s="409"/>
      <c r="DK14" s="409"/>
      <c r="DL14" s="409"/>
      <c r="DM14" s="409"/>
      <c r="DN14" s="409"/>
      <c r="DO14" s="409"/>
      <c r="DP14" s="409"/>
      <c r="DQ14" s="409"/>
      <c r="DR14" s="409"/>
      <c r="DS14" s="409"/>
    </row>
    <row r="15" spans="1:126" ht="33.75" customHeight="1" x14ac:dyDescent="0.2">
      <c r="A15" s="132">
        <v>1</v>
      </c>
      <c r="B15" s="246" t="s">
        <v>153</v>
      </c>
      <c r="C15" s="106" t="s">
        <v>35</v>
      </c>
      <c r="D15" s="116">
        <f t="shared" ref="D15" si="28">D16/D17</f>
        <v>0</v>
      </c>
      <c r="E15" s="116">
        <v>0</v>
      </c>
      <c r="F15" s="116"/>
      <c r="G15" s="116"/>
      <c r="H15" s="116">
        <f t="shared" ref="H15:I15" si="29">H16/H17</f>
        <v>0</v>
      </c>
      <c r="I15" s="116">
        <f t="shared" si="29"/>
        <v>0</v>
      </c>
      <c r="J15" s="129">
        <f>I15-H15</f>
        <v>0</v>
      </c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>
        <f t="shared" ref="X15:CZ15" si="30">X16/X17</f>
        <v>0</v>
      </c>
      <c r="Y15" s="116">
        <v>0</v>
      </c>
      <c r="Z15" s="116">
        <f>Y15-X15</f>
        <v>0</v>
      </c>
      <c r="AA15" s="116"/>
      <c r="AB15" s="116">
        <f t="shared" si="30"/>
        <v>0</v>
      </c>
      <c r="AC15" s="116">
        <f t="shared" si="30"/>
        <v>0</v>
      </c>
      <c r="AD15" s="129">
        <f>AC15-AB15</f>
        <v>0</v>
      </c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29">
        <v>0</v>
      </c>
      <c r="AS15" s="129">
        <v>0</v>
      </c>
      <c r="AT15" s="116">
        <v>0</v>
      </c>
      <c r="AU15" s="116"/>
      <c r="AV15" s="116">
        <f t="shared" si="30"/>
        <v>0</v>
      </c>
      <c r="AW15" s="116">
        <f t="shared" si="30"/>
        <v>0</v>
      </c>
      <c r="AX15" s="116">
        <f>AW15-AV15</f>
        <v>0</v>
      </c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>
        <v>0</v>
      </c>
      <c r="BM15" s="116">
        <v>0</v>
      </c>
      <c r="BN15" s="116">
        <v>0</v>
      </c>
      <c r="BO15" s="116"/>
      <c r="BP15" s="129">
        <f t="shared" si="30"/>
        <v>0</v>
      </c>
      <c r="BQ15" s="129">
        <f t="shared" si="30"/>
        <v>0</v>
      </c>
      <c r="BR15" s="116">
        <f>BQ15-BP15</f>
        <v>0</v>
      </c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>
        <f t="shared" si="30"/>
        <v>0</v>
      </c>
      <c r="CG15" s="116">
        <f t="shared" si="30"/>
        <v>0</v>
      </c>
      <c r="CH15" s="116">
        <v>0</v>
      </c>
      <c r="CI15" s="116"/>
      <c r="CJ15" s="116">
        <f t="shared" si="30"/>
        <v>0</v>
      </c>
      <c r="CK15" s="116">
        <f t="shared" si="30"/>
        <v>0</v>
      </c>
      <c r="CL15" s="116">
        <f t="shared" si="23"/>
        <v>0</v>
      </c>
      <c r="CM15" s="116"/>
      <c r="CN15" s="129"/>
      <c r="CO15" s="129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>
        <f t="shared" si="30"/>
        <v>0</v>
      </c>
      <c r="DA15" s="116">
        <v>0</v>
      </c>
      <c r="DB15" s="116">
        <f>DA15-CZ15</f>
        <v>0</v>
      </c>
      <c r="DC15" s="116"/>
      <c r="DD15" s="116">
        <v>0</v>
      </c>
      <c r="DE15" s="116">
        <v>0</v>
      </c>
      <c r="DF15" s="116">
        <f t="shared" si="24"/>
        <v>0</v>
      </c>
      <c r="DG15" s="116"/>
      <c r="DH15" s="116"/>
      <c r="DI15" s="116"/>
      <c r="DJ15" s="116"/>
      <c r="DK15" s="116"/>
      <c r="DL15" s="129"/>
      <c r="DM15" s="129"/>
      <c r="DN15" s="116"/>
      <c r="DO15" s="116"/>
      <c r="DP15" s="116"/>
      <c r="DQ15" s="116"/>
      <c r="DR15" s="116"/>
      <c r="DS15" s="116"/>
    </row>
    <row r="16" spans="1:126" ht="220.5" x14ac:dyDescent="0.2">
      <c r="A16" s="131" t="s">
        <v>30</v>
      </c>
      <c r="B16" s="246" t="s">
        <v>154</v>
      </c>
      <c r="C16" s="106" t="s">
        <v>50</v>
      </c>
      <c r="D16" s="106">
        <v>0</v>
      </c>
      <c r="E16" s="106">
        <v>0</v>
      </c>
      <c r="F16" s="106"/>
      <c r="G16" s="106"/>
      <c r="H16" s="106">
        <v>0</v>
      </c>
      <c r="I16" s="106">
        <v>0</v>
      </c>
      <c r="J16" s="129">
        <f>I16-H16</f>
        <v>0</v>
      </c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>
        <v>0</v>
      </c>
      <c r="Y16" s="106">
        <v>0</v>
      </c>
      <c r="Z16" s="106">
        <f>Y16-X16</f>
        <v>0</v>
      </c>
      <c r="AA16" s="106"/>
      <c r="AB16" s="106">
        <v>0</v>
      </c>
      <c r="AC16" s="106">
        <v>0</v>
      </c>
      <c r="AD16" s="129">
        <f>AC16-AB16</f>
        <v>0</v>
      </c>
      <c r="AE16" s="106"/>
      <c r="AF16" s="106"/>
      <c r="AG16" s="106"/>
      <c r="AH16" s="106"/>
      <c r="AI16" s="106"/>
      <c r="AJ16" s="116"/>
      <c r="AK16" s="116"/>
      <c r="AL16" s="116"/>
      <c r="AM16" s="116"/>
      <c r="AN16" s="116"/>
      <c r="AO16" s="116"/>
      <c r="AP16" s="116"/>
      <c r="AQ16" s="116"/>
      <c r="AR16" s="106">
        <v>0</v>
      </c>
      <c r="AS16" s="116">
        <v>0</v>
      </c>
      <c r="AT16" s="116">
        <v>0</v>
      </c>
      <c r="AU16" s="116"/>
      <c r="AV16" s="106">
        <v>0</v>
      </c>
      <c r="AW16" s="106">
        <v>0</v>
      </c>
      <c r="AX16" s="106">
        <f>AW16-AV16</f>
        <v>0</v>
      </c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>
        <v>0</v>
      </c>
      <c r="BM16" s="106">
        <v>0</v>
      </c>
      <c r="BN16" s="106">
        <v>0</v>
      </c>
      <c r="BO16" s="106"/>
      <c r="BP16" s="106">
        <v>0</v>
      </c>
      <c r="BQ16" s="106">
        <v>0</v>
      </c>
      <c r="BR16" s="106">
        <f>BQ16-BP16</f>
        <v>0</v>
      </c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>
        <v>0</v>
      </c>
      <c r="CG16" s="106">
        <v>0</v>
      </c>
      <c r="CH16" s="106">
        <v>0</v>
      </c>
      <c r="CI16" s="106"/>
      <c r="CJ16" s="106">
        <v>0</v>
      </c>
      <c r="CK16" s="106">
        <v>0</v>
      </c>
      <c r="CL16" s="106">
        <f t="shared" si="23"/>
        <v>0</v>
      </c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>
        <v>0</v>
      </c>
      <c r="DA16" s="106">
        <v>0</v>
      </c>
      <c r="DB16" s="106">
        <f>DA16-CZ16</f>
        <v>0</v>
      </c>
      <c r="DC16" s="106"/>
      <c r="DD16" s="106">
        <f>DA16</f>
        <v>0</v>
      </c>
      <c r="DE16" s="106">
        <v>0</v>
      </c>
      <c r="DF16" s="106">
        <f t="shared" si="24"/>
        <v>0</v>
      </c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</row>
    <row r="17" spans="1:126" ht="20.100000000000001" customHeight="1" x14ac:dyDescent="0.2">
      <c r="A17" s="131" t="s">
        <v>31</v>
      </c>
      <c r="B17" s="137" t="s">
        <v>56</v>
      </c>
      <c r="C17" s="106" t="s">
        <v>57</v>
      </c>
      <c r="D17" s="118">
        <v>20.388999999999999</v>
      </c>
      <c r="E17" s="146">
        <v>19.7</v>
      </c>
      <c r="F17" s="118">
        <f>E17-D17</f>
        <v>-0.68900000000000006</v>
      </c>
      <c r="G17" s="118"/>
      <c r="H17" s="118">
        <v>20.388999999999999</v>
      </c>
      <c r="I17" s="118">
        <v>19.700189999999999</v>
      </c>
      <c r="J17" s="129">
        <f>I17-H17</f>
        <v>-0.68881000000000014</v>
      </c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>
        <v>6.32</v>
      </c>
      <c r="Y17" s="118">
        <f>0.574+5.208</f>
        <v>5.782</v>
      </c>
      <c r="Z17" s="118">
        <f>Y17-X17</f>
        <v>-0.53800000000000026</v>
      </c>
      <c r="AA17" s="119"/>
      <c r="AB17" s="118">
        <v>6.32</v>
      </c>
      <c r="AC17" s="118">
        <v>5.782</v>
      </c>
      <c r="AD17" s="129">
        <f>AC17-AB17</f>
        <v>-0.53800000000000026</v>
      </c>
      <c r="AE17" s="119"/>
      <c r="AF17" s="118"/>
      <c r="AG17" s="118"/>
      <c r="AH17" s="118"/>
      <c r="AI17" s="119"/>
      <c r="AJ17" s="118"/>
      <c r="AK17" s="118"/>
      <c r="AL17" s="118"/>
      <c r="AM17" s="118"/>
      <c r="AN17" s="118"/>
      <c r="AO17" s="118"/>
      <c r="AP17" s="118"/>
      <c r="AQ17" s="118"/>
      <c r="AR17" s="118">
        <v>2.39</v>
      </c>
      <c r="AS17" s="118">
        <v>2.5209999999999999</v>
      </c>
      <c r="AT17" s="118">
        <v>4.9999999999998934E-3</v>
      </c>
      <c r="AU17" s="118"/>
      <c r="AV17" s="118">
        <v>2.39</v>
      </c>
      <c r="AW17" s="118">
        <v>2.5209999999999999</v>
      </c>
      <c r="AX17" s="118">
        <f>AW17-AV17</f>
        <v>0.13099999999999978</v>
      </c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>
        <v>5.7069999999999999</v>
      </c>
      <c r="BM17" s="118">
        <v>5.7069999999999999</v>
      </c>
      <c r="BN17" s="118">
        <v>0</v>
      </c>
      <c r="BO17" s="118"/>
      <c r="BP17" s="118">
        <v>5.7069999999999999</v>
      </c>
      <c r="BQ17" s="118">
        <v>5.7069999999999999</v>
      </c>
      <c r="BR17" s="118">
        <f>BQ17-BP17</f>
        <v>0</v>
      </c>
      <c r="BS17" s="118"/>
      <c r="BT17" s="118"/>
      <c r="BU17" s="118"/>
      <c r="BV17" s="118"/>
      <c r="BW17" s="119"/>
      <c r="BX17" s="118"/>
      <c r="BY17" s="118"/>
      <c r="BZ17" s="118"/>
      <c r="CA17" s="119"/>
      <c r="CB17" s="118"/>
      <c r="CC17" s="118"/>
      <c r="CD17" s="118"/>
      <c r="CE17" s="119"/>
      <c r="CF17" s="118">
        <v>3.39</v>
      </c>
      <c r="CG17" s="118">
        <v>3.391</v>
      </c>
      <c r="CH17" s="118">
        <v>9.9999999999988987E-4</v>
      </c>
      <c r="CI17" s="118"/>
      <c r="CJ17" s="118">
        <f>CF17</f>
        <v>3.39</v>
      </c>
      <c r="CK17" s="118">
        <v>3.391</v>
      </c>
      <c r="CL17" s="118">
        <f>CK17-CJ17</f>
        <v>9.9999999999988987E-4</v>
      </c>
      <c r="CM17" s="118"/>
      <c r="CN17" s="118"/>
      <c r="CO17" s="118"/>
      <c r="CP17" s="118"/>
      <c r="CQ17" s="118"/>
      <c r="CR17" s="118"/>
      <c r="CS17" s="118"/>
      <c r="CT17" s="129"/>
      <c r="CU17" s="119"/>
      <c r="CV17" s="118"/>
      <c r="CW17" s="118"/>
      <c r="CX17" s="118"/>
      <c r="CY17" s="119"/>
      <c r="CZ17" s="118">
        <v>2.88</v>
      </c>
      <c r="DA17" s="118">
        <v>3.0939999999999999</v>
      </c>
      <c r="DB17" s="118">
        <f>DA17-CZ17</f>
        <v>0.21399999999999997</v>
      </c>
      <c r="DC17" s="119"/>
      <c r="DD17" s="118">
        <v>2.88</v>
      </c>
      <c r="DE17" s="118">
        <v>3.0939999999999999</v>
      </c>
      <c r="DF17" s="118">
        <f>DE17-DD17</f>
        <v>0.21399999999999997</v>
      </c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119"/>
    </row>
    <row r="18" spans="1:126" ht="15.75" customHeight="1" x14ac:dyDescent="0.2">
      <c r="A18" s="114" t="s">
        <v>58</v>
      </c>
      <c r="B18" s="409" t="s">
        <v>29</v>
      </c>
      <c r="C18" s="409"/>
      <c r="D18" s="409"/>
      <c r="E18" s="409"/>
      <c r="F18" s="409"/>
      <c r="G18" s="409"/>
      <c r="H18" s="409"/>
      <c r="I18" s="409"/>
      <c r="J18" s="409"/>
      <c r="K18" s="409"/>
      <c r="L18" s="409"/>
      <c r="M18" s="409"/>
      <c r="N18" s="409"/>
      <c r="O18" s="409"/>
      <c r="P18" s="409"/>
      <c r="Q18" s="409"/>
      <c r="R18" s="409"/>
      <c r="S18" s="409"/>
      <c r="T18" s="409"/>
      <c r="U18" s="409"/>
      <c r="V18" s="409"/>
      <c r="W18" s="409"/>
      <c r="X18" s="409"/>
      <c r="Y18" s="409"/>
      <c r="Z18" s="409"/>
      <c r="AA18" s="409"/>
      <c r="AB18" s="409"/>
      <c r="AC18" s="409"/>
      <c r="AD18" s="409"/>
      <c r="AE18" s="409"/>
      <c r="AF18" s="409"/>
      <c r="AG18" s="409"/>
      <c r="AH18" s="409"/>
      <c r="AI18" s="409"/>
      <c r="AJ18" s="409"/>
      <c r="AK18" s="409"/>
      <c r="AL18" s="409"/>
      <c r="AM18" s="409"/>
      <c r="AN18" s="409"/>
      <c r="AO18" s="409"/>
      <c r="AP18" s="409"/>
      <c r="AQ18" s="409"/>
      <c r="AR18" s="409"/>
      <c r="AS18" s="409"/>
      <c r="AT18" s="409"/>
      <c r="AU18" s="409"/>
      <c r="AV18" s="409"/>
      <c r="AW18" s="409"/>
      <c r="AX18" s="409"/>
      <c r="AY18" s="409"/>
      <c r="AZ18" s="409"/>
      <c r="BA18" s="409"/>
      <c r="BB18" s="409"/>
      <c r="BC18" s="409"/>
      <c r="BD18" s="409"/>
      <c r="BE18" s="409"/>
      <c r="BF18" s="409"/>
      <c r="BG18" s="409"/>
      <c r="BH18" s="409"/>
      <c r="BI18" s="409"/>
      <c r="BJ18" s="409"/>
      <c r="BK18" s="409"/>
      <c r="BL18" s="409"/>
      <c r="BM18" s="409"/>
      <c r="BN18" s="409"/>
      <c r="BO18" s="409"/>
      <c r="BP18" s="409"/>
      <c r="BQ18" s="409"/>
      <c r="BR18" s="409"/>
      <c r="BS18" s="409"/>
      <c r="BT18" s="409"/>
      <c r="BU18" s="409"/>
      <c r="BV18" s="409"/>
      <c r="BW18" s="409"/>
      <c r="BX18" s="409"/>
      <c r="BY18" s="409"/>
      <c r="BZ18" s="409"/>
      <c r="CA18" s="409"/>
      <c r="CB18" s="409"/>
      <c r="CC18" s="409"/>
      <c r="CD18" s="409"/>
      <c r="CE18" s="409"/>
      <c r="CF18" s="409"/>
      <c r="CG18" s="409"/>
      <c r="CH18" s="409"/>
      <c r="CI18" s="409"/>
      <c r="CJ18" s="409"/>
      <c r="CK18" s="409"/>
      <c r="CL18" s="409"/>
      <c r="CM18" s="409"/>
      <c r="CN18" s="409"/>
      <c r="CO18" s="409"/>
      <c r="CP18" s="409"/>
      <c r="CQ18" s="409"/>
      <c r="CR18" s="409"/>
      <c r="CS18" s="409"/>
      <c r="CT18" s="409"/>
      <c r="CU18" s="409"/>
      <c r="CV18" s="409"/>
      <c r="CW18" s="409"/>
      <c r="CX18" s="409"/>
      <c r="CY18" s="409"/>
      <c r="CZ18" s="409"/>
      <c r="DA18" s="409"/>
      <c r="DB18" s="409"/>
      <c r="DC18" s="409"/>
      <c r="DD18" s="409"/>
      <c r="DE18" s="409"/>
      <c r="DF18" s="409"/>
      <c r="DG18" s="409"/>
      <c r="DH18" s="409"/>
      <c r="DI18" s="409"/>
      <c r="DJ18" s="409"/>
      <c r="DK18" s="409"/>
      <c r="DL18" s="409"/>
      <c r="DM18" s="409"/>
      <c r="DN18" s="409"/>
      <c r="DO18" s="409"/>
      <c r="DP18" s="409"/>
      <c r="DQ18" s="409"/>
      <c r="DR18" s="409"/>
      <c r="DS18" s="409"/>
    </row>
    <row r="19" spans="1:126" ht="50.25" customHeight="1" x14ac:dyDescent="0.2">
      <c r="A19" s="131" t="s">
        <v>53</v>
      </c>
      <c r="B19" s="246" t="s">
        <v>46</v>
      </c>
      <c r="C19" s="106" t="s">
        <v>4</v>
      </c>
      <c r="D19" s="129">
        <f t="shared" ref="D19" si="31">D21/D20*100</f>
        <v>6.3160165328360494</v>
      </c>
      <c r="E19" s="129">
        <v>5.53</v>
      </c>
      <c r="F19" s="129">
        <f>E19-D19</f>
        <v>-0.78601653283604911</v>
      </c>
      <c r="G19" s="129"/>
      <c r="H19" s="129">
        <f t="shared" ref="H19" si="32">H21/H20*100</f>
        <v>6.3158976822556268</v>
      </c>
      <c r="I19" s="129">
        <f>I21/I20*100</f>
        <v>8.1309722980954966</v>
      </c>
      <c r="J19" s="129">
        <f t="shared" ref="J19:J24" si="33">I19-H19</f>
        <v>1.8150746158398698</v>
      </c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>
        <f t="shared" ref="X19:CJ19" si="34">X21/X20*100</f>
        <v>2.7008801817149348</v>
      </c>
      <c r="Y19" s="129">
        <f>Y21/Y20*100</f>
        <v>2.6988761848184137</v>
      </c>
      <c r="Z19" s="129">
        <f t="shared" ref="Z19:Z24" si="35">Y19-X19</f>
        <v>-2.0039968965210875E-3</v>
      </c>
      <c r="AA19" s="129"/>
      <c r="AB19" s="129">
        <f t="shared" ref="AB19" si="36">AB21/AB20*100</f>
        <v>2.6986657441007931</v>
      </c>
      <c r="AC19" s="129">
        <f>AC21/AC20*100</f>
        <v>2.6951852693332627</v>
      </c>
      <c r="AD19" s="129">
        <f t="shared" ref="AD19:AD24" si="37">AC19-AB19</f>
        <v>-3.4804747675303283E-3</v>
      </c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>
        <v>0.75900176088408522</v>
      </c>
      <c r="AS19" s="129">
        <v>0.79998586806264771</v>
      </c>
      <c r="AT19" s="129">
        <v>4.098410717856249E-2</v>
      </c>
      <c r="AU19" s="129"/>
      <c r="AV19" s="129">
        <f t="shared" ref="AV19" si="38">AV21/AV20*100</f>
        <v>0.75655366688101411</v>
      </c>
      <c r="AW19" s="129">
        <f>AW21/AW20*100</f>
        <v>0.80000379793929677</v>
      </c>
      <c r="AX19" s="129">
        <f>AW19-AV19</f>
        <v>4.3450131058282659E-2</v>
      </c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>
        <v>1.8452268875917905</v>
      </c>
      <c r="BM19" s="129">
        <v>1.8999915727682157</v>
      </c>
      <c r="BN19" s="129">
        <v>5.4764685176425187E-2</v>
      </c>
      <c r="BO19" s="129"/>
      <c r="BP19" s="129">
        <f t="shared" ref="BP19" si="39">BP21/BP20*100</f>
        <v>1.8444810924669153</v>
      </c>
      <c r="BQ19" s="129">
        <f>BQ21/BQ20*100</f>
        <v>1.8999958824331264</v>
      </c>
      <c r="BR19" s="129">
        <f>BQ19-BP19</f>
        <v>5.5514789966211175E-2</v>
      </c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129"/>
      <c r="CD19" s="129"/>
      <c r="CE19" s="129"/>
      <c r="CF19" s="129">
        <f t="shared" ref="CF19" si="40">CF21/CF20*100</f>
        <v>1.4778317322917562</v>
      </c>
      <c r="CG19" s="129">
        <f>CG21/CG20*100</f>
        <v>1.4777511812383357</v>
      </c>
      <c r="CH19" s="129">
        <f>CG19-CF19</f>
        <v>-8.0551053420530039E-5</v>
      </c>
      <c r="CI19" s="129"/>
      <c r="CJ19" s="129">
        <f t="shared" si="34"/>
        <v>1.4518177686889346</v>
      </c>
      <c r="CK19" s="129">
        <f>CK21/CK20*100</f>
        <v>1.4778816680985867</v>
      </c>
      <c r="CL19" s="129">
        <f>CK19-CJ19</f>
        <v>2.6063899409652036E-2</v>
      </c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>
        <f>CZ21/CZ20*100</f>
        <v>2.3507549462814765</v>
      </c>
      <c r="DA19" s="129">
        <f>DA21/DA20*100</f>
        <v>2.399990933356392</v>
      </c>
      <c r="DB19" s="129">
        <f t="shared" ref="DB19:DB27" si="41">DA19-CZ19</f>
        <v>4.9235987074915499E-2</v>
      </c>
      <c r="DC19" s="129"/>
      <c r="DD19" s="129">
        <f t="shared" ref="DD19:DE19" si="42">DD21/DD20*100</f>
        <v>2.351910464746477</v>
      </c>
      <c r="DE19" s="129">
        <f t="shared" si="42"/>
        <v>2.4000067432784205</v>
      </c>
      <c r="DF19" s="129">
        <f>DE19-DD19</f>
        <v>4.8096278531943426E-2</v>
      </c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U19" s="129">
        <f t="shared" ref="DU19:DV19" si="43">DU21/DU20*100</f>
        <v>5.8379345635598723</v>
      </c>
      <c r="DV19" s="129">
        <f t="shared" si="43"/>
        <v>7.4945892832591792</v>
      </c>
    </row>
    <row r="20" spans="1:126" ht="15.75" x14ac:dyDescent="0.2">
      <c r="A20" s="131" t="s">
        <v>30</v>
      </c>
      <c r="B20" s="246" t="s">
        <v>59</v>
      </c>
      <c r="C20" s="106" t="s">
        <v>66</v>
      </c>
      <c r="D20" s="118">
        <v>1005.998</v>
      </c>
      <c r="E20" s="118">
        <v>901.17932200000007</v>
      </c>
      <c r="F20" s="129">
        <f t="shared" ref="F20:F24" si="44">E20-D20</f>
        <v>-104.81867799999998</v>
      </c>
      <c r="G20" s="129"/>
      <c r="H20" s="118">
        <v>912.23437899999999</v>
      </c>
      <c r="I20" s="118">
        <v>887.66615300000001</v>
      </c>
      <c r="J20" s="129">
        <f t="shared" si="33"/>
        <v>-24.568225999999981</v>
      </c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18">
        <v>28.175999999999998</v>
      </c>
      <c r="Y20" s="118">
        <v>25.492091999999996</v>
      </c>
      <c r="Z20" s="129">
        <f t="shared" si="35"/>
        <v>-2.6839080000000024</v>
      </c>
      <c r="AA20" s="129"/>
      <c r="AB20" s="118">
        <v>28.026183</v>
      </c>
      <c r="AC20" s="118">
        <v>20.889101999999998</v>
      </c>
      <c r="AD20" s="129">
        <f t="shared" si="37"/>
        <v>-7.137081000000002</v>
      </c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18">
        <v>16.469000000000001</v>
      </c>
      <c r="AS20" s="118">
        <v>14.888263</v>
      </c>
      <c r="AT20" s="129">
        <v>-1.5807370000000009</v>
      </c>
      <c r="AU20" s="129"/>
      <c r="AV20" s="118">
        <v>16.0665491</v>
      </c>
      <c r="AW20" s="118">
        <v>14.323557000000001</v>
      </c>
      <c r="AX20" s="129">
        <f>AW20-AV20</f>
        <v>-1.7429920999999986</v>
      </c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>
        <v>26.555</v>
      </c>
      <c r="BM20" s="129">
        <v>25.773587999999997</v>
      </c>
      <c r="BN20" s="129">
        <v>-0.7814120000000031</v>
      </c>
      <c r="BO20" s="129"/>
      <c r="BP20" s="118">
        <v>25.891347000000003</v>
      </c>
      <c r="BQ20" s="118">
        <v>27.370532999999998</v>
      </c>
      <c r="BR20" s="129">
        <f>BQ20-BP20</f>
        <v>1.479185999999995</v>
      </c>
      <c r="BS20" s="129"/>
      <c r="BT20" s="129"/>
      <c r="BU20" s="129"/>
      <c r="BV20" s="129"/>
      <c r="BW20" s="129"/>
      <c r="BX20" s="129"/>
      <c r="BY20" s="129"/>
      <c r="BZ20" s="129"/>
      <c r="CA20" s="129"/>
      <c r="CB20" s="129"/>
      <c r="CC20" s="129"/>
      <c r="CD20" s="129"/>
      <c r="CE20" s="129"/>
      <c r="CF20" s="118">
        <v>18.946000000000002</v>
      </c>
      <c r="CG20" s="118">
        <v>13.712727999999998</v>
      </c>
      <c r="CH20" s="129">
        <f>CG20-CF20</f>
        <v>-5.233272000000003</v>
      </c>
      <c r="CI20" s="129"/>
      <c r="CJ20" s="118">
        <v>17.603999999999999</v>
      </c>
      <c r="CK20" s="118">
        <v>14.541082999999999</v>
      </c>
      <c r="CL20" s="129">
        <f>CK20-CJ20</f>
        <v>-3.0629170000000006</v>
      </c>
      <c r="CM20" s="129"/>
      <c r="CN20" s="118"/>
      <c r="CO20" s="118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18">
        <v>24.690366000000001</v>
      </c>
      <c r="DA20" s="118">
        <v>23.823590000000003</v>
      </c>
      <c r="DB20" s="129">
        <f t="shared" si="41"/>
        <v>-0.86677599999999799</v>
      </c>
      <c r="DC20" s="129"/>
      <c r="DD20" s="118">
        <v>24.607782000000004</v>
      </c>
      <c r="DE20" s="118">
        <v>25.150970999999998</v>
      </c>
      <c r="DF20" s="129">
        <f>DE20-DD20</f>
        <v>0.54318899999999459</v>
      </c>
      <c r="DG20" s="129"/>
      <c r="DH20" s="129"/>
      <c r="DI20" s="129"/>
      <c r="DJ20" s="129"/>
      <c r="DK20" s="129"/>
      <c r="DL20" s="118"/>
      <c r="DM20" s="118"/>
      <c r="DN20" s="129"/>
      <c r="DO20" s="129"/>
      <c r="DP20" s="129"/>
      <c r="DQ20" s="129"/>
      <c r="DR20" s="129"/>
      <c r="DS20" s="129"/>
      <c r="DU20" s="420">
        <f t="shared" ref="DU20:DU21" si="45">H20+AB20+AV20+BP20+CJ20+DD20</f>
        <v>1024.4302401</v>
      </c>
      <c r="DV20" s="420">
        <f t="shared" ref="DV20:DV21" si="46">I20+AC20+AW20+BQ20+CK20+DE20</f>
        <v>989.94139900000005</v>
      </c>
    </row>
    <row r="21" spans="1:126" ht="34.5" customHeight="1" x14ac:dyDescent="0.2">
      <c r="A21" s="131" t="s">
        <v>31</v>
      </c>
      <c r="B21" s="246" t="s">
        <v>60</v>
      </c>
      <c r="C21" s="106" t="s">
        <v>66</v>
      </c>
      <c r="D21" s="118">
        <v>63.539000000000001</v>
      </c>
      <c r="E21" s="118">
        <v>49.809657000000001</v>
      </c>
      <c r="F21" s="129">
        <f t="shared" si="44"/>
        <v>-13.729343</v>
      </c>
      <c r="G21" s="129"/>
      <c r="H21" s="118">
        <v>57.615790000000004</v>
      </c>
      <c r="I21" s="118">
        <v>72.175888999999998</v>
      </c>
      <c r="J21" s="129">
        <f t="shared" si="33"/>
        <v>14.560098999999994</v>
      </c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18">
        <v>0.76100000000000001</v>
      </c>
      <c r="Y21" s="118">
        <v>0.68799999999999994</v>
      </c>
      <c r="Z21" s="129">
        <f t="shared" si="35"/>
        <v>-7.3000000000000065E-2</v>
      </c>
      <c r="AA21" s="129"/>
      <c r="AB21" s="118">
        <v>0.75633299999999992</v>
      </c>
      <c r="AC21" s="118">
        <v>0.56299999999999994</v>
      </c>
      <c r="AD21" s="129">
        <f t="shared" si="37"/>
        <v>-0.19333299999999998</v>
      </c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18">
        <v>0.125</v>
      </c>
      <c r="AS21" s="118">
        <v>0.119104</v>
      </c>
      <c r="AT21" s="129">
        <v>-5.8959999999999985E-3</v>
      </c>
      <c r="AU21" s="129"/>
      <c r="AV21" s="118">
        <v>0.12155206635728857</v>
      </c>
      <c r="AW21" s="118">
        <v>0.114589</v>
      </c>
      <c r="AX21" s="129">
        <f>AW21-AV21</f>
        <v>-6.9630663572885776E-3</v>
      </c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>
        <v>0.49</v>
      </c>
      <c r="BM21" s="129">
        <v>0.48969600000000002</v>
      </c>
      <c r="BN21" s="129">
        <v>-3.0399999999997096E-4</v>
      </c>
      <c r="BO21" s="129"/>
      <c r="BP21" s="118">
        <v>0.47756099999999996</v>
      </c>
      <c r="BQ21" s="118">
        <v>0.52003900000000003</v>
      </c>
      <c r="BR21" s="129">
        <f>BQ21-BP21</f>
        <v>4.2478000000000071E-2</v>
      </c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18">
        <v>0.27998999999999613</v>
      </c>
      <c r="CG21" s="118">
        <v>0.20263999999999999</v>
      </c>
      <c r="CH21" s="129">
        <f>CG21-CF21</f>
        <v>-7.7349999999996144E-2</v>
      </c>
      <c r="CI21" s="129"/>
      <c r="CJ21" s="118">
        <v>0.25557800000000003</v>
      </c>
      <c r="CK21" s="118">
        <v>0.21489999999999998</v>
      </c>
      <c r="CL21" s="129">
        <f>CK21-CJ21</f>
        <v>-4.0678000000000047E-2</v>
      </c>
      <c r="CM21" s="129"/>
      <c r="CN21" s="118"/>
      <c r="CO21" s="118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18">
        <v>0.58040999999999998</v>
      </c>
      <c r="DA21" s="118">
        <v>0.57176400000000016</v>
      </c>
      <c r="DB21" s="129">
        <f t="shared" si="41"/>
        <v>-8.6459999999998205E-3</v>
      </c>
      <c r="DC21" s="129"/>
      <c r="DD21" s="118">
        <v>0.57875300000000007</v>
      </c>
      <c r="DE21" s="118">
        <v>0.60362499999999997</v>
      </c>
      <c r="DF21" s="129">
        <f>DE21-DD21</f>
        <v>2.4871999999999894E-2</v>
      </c>
      <c r="DG21" s="116"/>
      <c r="DH21" s="129"/>
      <c r="DI21" s="116"/>
      <c r="DJ21" s="129"/>
      <c r="DK21" s="116"/>
      <c r="DL21" s="118"/>
      <c r="DM21" s="118"/>
      <c r="DN21" s="129"/>
      <c r="DO21" s="116"/>
      <c r="DP21" s="129"/>
      <c r="DQ21" s="129"/>
      <c r="DR21" s="129"/>
      <c r="DS21" s="129"/>
      <c r="DU21" s="420">
        <f t="shared" si="45"/>
        <v>59.805567066357291</v>
      </c>
      <c r="DV21" s="420">
        <f t="shared" si="46"/>
        <v>74.192041999999987</v>
      </c>
    </row>
    <row r="22" spans="1:126" ht="73.5" customHeight="1" x14ac:dyDescent="0.2">
      <c r="A22" s="131" t="s">
        <v>54</v>
      </c>
      <c r="B22" s="246" t="s">
        <v>36</v>
      </c>
      <c r="C22" s="106" t="s">
        <v>40</v>
      </c>
      <c r="D22" s="118">
        <f>D23/D24</f>
        <v>8.1714285714285712E-2</v>
      </c>
      <c r="E22" s="118">
        <f>E23/E24</f>
        <v>7.2127709117586689E-2</v>
      </c>
      <c r="F22" s="120">
        <f t="shared" si="44"/>
        <v>-9.586576596699023E-3</v>
      </c>
      <c r="G22" s="120"/>
      <c r="H22" s="118">
        <f>H23/H24</f>
        <v>8.1695238095238099E-2</v>
      </c>
      <c r="I22" s="118">
        <f>I23/I24</f>
        <v>8.1815186740159043E-2</v>
      </c>
      <c r="J22" s="129">
        <f t="shared" si="33"/>
        <v>1.199486449209447E-4</v>
      </c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18">
        <f t="shared" ref="X22" si="47">X23/X24</f>
        <v>5.1676211527512645</v>
      </c>
      <c r="Y22" s="118">
        <f>Y23/Y24</f>
        <v>3.091012480803851</v>
      </c>
      <c r="Z22" s="120">
        <f t="shared" si="35"/>
        <v>-2.0766086719474135</v>
      </c>
      <c r="AA22" s="120"/>
      <c r="AB22" s="118">
        <f>AB23/AB24</f>
        <v>5.1665005712728185</v>
      </c>
      <c r="AC22" s="118">
        <f>AC23/AC24</f>
        <v>3.6157017708830268</v>
      </c>
      <c r="AD22" s="129">
        <f t="shared" si="37"/>
        <v>-1.5507988003897917</v>
      </c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18" t="s">
        <v>39</v>
      </c>
      <c r="AS22" s="118" t="s">
        <v>39</v>
      </c>
      <c r="AT22" s="120" t="s">
        <v>39</v>
      </c>
      <c r="AU22" s="120"/>
      <c r="AV22" s="116" t="s">
        <v>39</v>
      </c>
      <c r="AW22" s="120" t="s">
        <v>39</v>
      </c>
      <c r="AX22" s="120"/>
      <c r="AY22" s="116"/>
      <c r="AZ22" s="116"/>
      <c r="BA22" s="120"/>
      <c r="BB22" s="120"/>
      <c r="BC22" s="116"/>
      <c r="BD22" s="116"/>
      <c r="BE22" s="120"/>
      <c r="BF22" s="120"/>
      <c r="BG22" s="116"/>
      <c r="BH22" s="116"/>
      <c r="BI22" s="120"/>
      <c r="BJ22" s="120"/>
      <c r="BK22" s="116"/>
      <c r="BL22" s="116" t="s">
        <v>39</v>
      </c>
      <c r="BM22" s="116" t="s">
        <v>39</v>
      </c>
      <c r="BN22" s="120" t="s">
        <v>39</v>
      </c>
      <c r="BO22" s="116"/>
      <c r="BP22" s="116" t="s">
        <v>39</v>
      </c>
      <c r="BQ22" s="116" t="s">
        <v>39</v>
      </c>
      <c r="BR22" s="120"/>
      <c r="BS22" s="116"/>
      <c r="BT22" s="116"/>
      <c r="BU22" s="120"/>
      <c r="BV22" s="120"/>
      <c r="BW22" s="116"/>
      <c r="BX22" s="116"/>
      <c r="BY22" s="120"/>
      <c r="BZ22" s="120"/>
      <c r="CA22" s="116"/>
      <c r="CB22" s="116"/>
      <c r="CC22" s="120"/>
      <c r="CD22" s="120"/>
      <c r="CE22" s="116"/>
      <c r="CF22" s="116" t="s">
        <v>39</v>
      </c>
      <c r="CG22" s="120" t="s">
        <v>39</v>
      </c>
      <c r="CH22" s="120" t="s">
        <v>39</v>
      </c>
      <c r="CI22" s="116"/>
      <c r="CJ22" s="116" t="s">
        <v>39</v>
      </c>
      <c r="CK22" s="116" t="s">
        <v>39</v>
      </c>
      <c r="CL22" s="120" t="s">
        <v>39</v>
      </c>
      <c r="CM22" s="116"/>
      <c r="CN22" s="116"/>
      <c r="CO22" s="116"/>
      <c r="CP22" s="120"/>
      <c r="CQ22" s="116"/>
      <c r="CR22" s="116"/>
      <c r="CS22" s="120"/>
      <c r="CT22" s="120"/>
      <c r="CU22" s="116"/>
      <c r="CV22" s="120"/>
      <c r="CW22" s="120"/>
      <c r="CX22" s="120"/>
      <c r="CY22" s="120"/>
      <c r="CZ22" s="120" t="s">
        <v>39</v>
      </c>
      <c r="DA22" s="120" t="s">
        <v>39</v>
      </c>
      <c r="DB22" s="120"/>
      <c r="DC22" s="120"/>
      <c r="DD22" s="116" t="s">
        <v>39</v>
      </c>
      <c r="DE22" s="120" t="s">
        <v>39</v>
      </c>
      <c r="DF22" s="120" t="s">
        <v>39</v>
      </c>
      <c r="DG22" s="116"/>
      <c r="DH22" s="116"/>
      <c r="DI22" s="116"/>
      <c r="DJ22" s="120"/>
      <c r="DK22" s="116"/>
      <c r="DL22" s="116"/>
      <c r="DM22" s="120"/>
      <c r="DN22" s="120"/>
      <c r="DO22" s="116"/>
      <c r="DP22" s="116"/>
      <c r="DQ22" s="120"/>
      <c r="DR22" s="120"/>
      <c r="DS22" s="116"/>
      <c r="DU22" s="421">
        <f>DU23/DU24</f>
        <v>0.23425693754475421</v>
      </c>
      <c r="DV22" s="421">
        <f>DV23/DV24</f>
        <v>0.17426951786991149</v>
      </c>
    </row>
    <row r="23" spans="1:126" ht="48.75" customHeight="1" x14ac:dyDescent="0.2">
      <c r="A23" s="131" t="s">
        <v>32</v>
      </c>
      <c r="B23" s="246" t="s">
        <v>61</v>
      </c>
      <c r="C23" s="248" t="s">
        <v>69</v>
      </c>
      <c r="D23" s="129">
        <v>85.8</v>
      </c>
      <c r="E23" s="249">
        <v>65</v>
      </c>
      <c r="F23" s="129">
        <f t="shared" si="44"/>
        <v>-20.799999999999997</v>
      </c>
      <c r="G23" s="129" t="s">
        <v>182</v>
      </c>
      <c r="H23" s="129">
        <v>77.939541586800004</v>
      </c>
      <c r="I23" s="129">
        <v>75.492999999999995</v>
      </c>
      <c r="J23" s="129">
        <f t="shared" si="33"/>
        <v>-2.4465415868000093</v>
      </c>
      <c r="K23" s="129" t="s">
        <v>182</v>
      </c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>
        <v>154.30000000000001</v>
      </c>
      <c r="Y23" s="129">
        <v>78.796374533799991</v>
      </c>
      <c r="Z23" s="129">
        <f t="shared" si="35"/>
        <v>-75.50362546620002</v>
      </c>
      <c r="AA23" s="126"/>
      <c r="AB23" s="129">
        <v>152.46093643848494</v>
      </c>
      <c r="AC23" s="129">
        <v>89.629999999999981</v>
      </c>
      <c r="AD23" s="129">
        <f t="shared" si="37"/>
        <v>-62.830936438484954</v>
      </c>
      <c r="AE23" s="126"/>
      <c r="AF23" s="129"/>
      <c r="AG23" s="129"/>
      <c r="AH23" s="129"/>
      <c r="AI23" s="126"/>
      <c r="AJ23" s="129"/>
      <c r="AK23" s="129"/>
      <c r="AL23" s="129"/>
      <c r="AM23" s="126"/>
      <c r="AN23" s="129"/>
      <c r="AO23" s="129"/>
      <c r="AP23" s="129"/>
      <c r="AQ23" s="129"/>
      <c r="AR23" s="129" t="s">
        <v>39</v>
      </c>
      <c r="AS23" s="129" t="s">
        <v>39</v>
      </c>
      <c r="AT23" s="129" t="s">
        <v>39</v>
      </c>
      <c r="AU23" s="129"/>
      <c r="AV23" s="116" t="s">
        <v>39</v>
      </c>
      <c r="AW23" s="129" t="s">
        <v>39</v>
      </c>
      <c r="AX23" s="129"/>
      <c r="AY23" s="116"/>
      <c r="AZ23" s="116"/>
      <c r="BA23" s="129"/>
      <c r="BB23" s="129"/>
      <c r="BC23" s="116"/>
      <c r="BD23" s="116"/>
      <c r="BE23" s="129"/>
      <c r="BF23" s="129"/>
      <c r="BG23" s="116"/>
      <c r="BH23" s="116"/>
      <c r="BI23" s="129"/>
      <c r="BJ23" s="129"/>
      <c r="BK23" s="116"/>
      <c r="BL23" s="116" t="s">
        <v>39</v>
      </c>
      <c r="BM23" s="116" t="s">
        <v>39</v>
      </c>
      <c r="BN23" s="129" t="s">
        <v>39</v>
      </c>
      <c r="BO23" s="116"/>
      <c r="BP23" s="116" t="s">
        <v>39</v>
      </c>
      <c r="BQ23" s="116" t="s">
        <v>39</v>
      </c>
      <c r="BR23" s="129"/>
      <c r="BS23" s="116"/>
      <c r="BT23" s="116"/>
      <c r="BU23" s="129"/>
      <c r="BV23" s="129"/>
      <c r="BW23" s="116"/>
      <c r="BX23" s="116"/>
      <c r="BY23" s="129"/>
      <c r="BZ23" s="129"/>
      <c r="CA23" s="116"/>
      <c r="CB23" s="116"/>
      <c r="CC23" s="129"/>
      <c r="CD23" s="129"/>
      <c r="CE23" s="116"/>
      <c r="CF23" s="116" t="s">
        <v>39</v>
      </c>
      <c r="CG23" s="129" t="s">
        <v>39</v>
      </c>
      <c r="CH23" s="129" t="s">
        <v>39</v>
      </c>
      <c r="CI23" s="116"/>
      <c r="CJ23" s="116" t="s">
        <v>39</v>
      </c>
      <c r="CK23" s="116" t="s">
        <v>39</v>
      </c>
      <c r="CL23" s="129" t="s">
        <v>39</v>
      </c>
      <c r="CM23" s="116"/>
      <c r="CN23" s="116"/>
      <c r="CO23" s="116"/>
      <c r="CP23" s="129"/>
      <c r="CQ23" s="116"/>
      <c r="CR23" s="116"/>
      <c r="CS23" s="129"/>
      <c r="CT23" s="129"/>
      <c r="CU23" s="116"/>
      <c r="CV23" s="116"/>
      <c r="CW23" s="129"/>
      <c r="CX23" s="129"/>
      <c r="CY23" s="126"/>
      <c r="CZ23" s="116" t="s">
        <v>39</v>
      </c>
      <c r="DA23" s="129" t="s">
        <v>39</v>
      </c>
      <c r="DB23" s="129"/>
      <c r="DC23" s="126"/>
      <c r="DD23" s="116" t="s">
        <v>39</v>
      </c>
      <c r="DE23" s="120" t="s">
        <v>39</v>
      </c>
      <c r="DF23" s="120" t="s">
        <v>39</v>
      </c>
      <c r="DG23" s="116"/>
      <c r="DH23" s="116"/>
      <c r="DI23" s="116"/>
      <c r="DJ23" s="120"/>
      <c r="DK23" s="116"/>
      <c r="DL23" s="116"/>
      <c r="DM23" s="120"/>
      <c r="DN23" s="120"/>
      <c r="DO23" s="116"/>
      <c r="DP23" s="116"/>
      <c r="DQ23" s="129"/>
      <c r="DR23" s="129"/>
      <c r="DS23" s="116"/>
      <c r="DU23" s="420">
        <f>H23+AB23</f>
        <v>230.40047802528494</v>
      </c>
      <c r="DV23" s="420">
        <f>I23+AC23</f>
        <v>165.12299999999999</v>
      </c>
    </row>
    <row r="24" spans="1:126" ht="31.5" x14ac:dyDescent="0.2">
      <c r="A24" s="131" t="s">
        <v>52</v>
      </c>
      <c r="B24" s="246" t="s">
        <v>62</v>
      </c>
      <c r="C24" s="248" t="s">
        <v>66</v>
      </c>
      <c r="D24" s="118">
        <v>1050</v>
      </c>
      <c r="E24" s="118">
        <f>E20</f>
        <v>901.17932200000007</v>
      </c>
      <c r="F24" s="129">
        <f t="shared" si="44"/>
        <v>-148.82067799999993</v>
      </c>
      <c r="G24" s="129"/>
      <c r="H24" s="118">
        <v>954.027963</v>
      </c>
      <c r="I24" s="118">
        <f>922726/1000</f>
        <v>922.726</v>
      </c>
      <c r="J24" s="129">
        <f t="shared" si="33"/>
        <v>-31.301963000000001</v>
      </c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18">
        <v>29.859000000000002</v>
      </c>
      <c r="Y24" s="118">
        <v>25.492091999999996</v>
      </c>
      <c r="Z24" s="129">
        <f t="shared" si="35"/>
        <v>-4.3669080000000058</v>
      </c>
      <c r="AA24" s="126"/>
      <c r="AB24" s="118">
        <v>29.509516999999999</v>
      </c>
      <c r="AC24" s="118">
        <f>24789.102/1000</f>
        <v>24.789102</v>
      </c>
      <c r="AD24" s="129">
        <f t="shared" si="37"/>
        <v>-4.7204149999999991</v>
      </c>
      <c r="AE24" s="126"/>
      <c r="AF24" s="129"/>
      <c r="AG24" s="129"/>
      <c r="AH24" s="129"/>
      <c r="AI24" s="126"/>
      <c r="AJ24" s="129"/>
      <c r="AK24" s="129"/>
      <c r="AL24" s="129"/>
      <c r="AM24" s="126"/>
      <c r="AN24" s="129"/>
      <c r="AO24" s="129"/>
      <c r="AP24" s="129"/>
      <c r="AQ24" s="129"/>
      <c r="AR24" s="118" t="s">
        <v>39</v>
      </c>
      <c r="AS24" s="118" t="s">
        <v>39</v>
      </c>
      <c r="AT24" s="129" t="s">
        <v>39</v>
      </c>
      <c r="AU24" s="129"/>
      <c r="AV24" s="116" t="s">
        <v>39</v>
      </c>
      <c r="AW24" s="129" t="s">
        <v>39</v>
      </c>
      <c r="AX24" s="129"/>
      <c r="AY24" s="116"/>
      <c r="AZ24" s="116"/>
      <c r="BA24" s="129"/>
      <c r="BB24" s="129"/>
      <c r="BC24" s="116"/>
      <c r="BD24" s="116"/>
      <c r="BE24" s="129"/>
      <c r="BF24" s="129"/>
      <c r="BG24" s="116"/>
      <c r="BH24" s="116"/>
      <c r="BI24" s="129"/>
      <c r="BJ24" s="129"/>
      <c r="BK24" s="116"/>
      <c r="BL24" s="116" t="s">
        <v>39</v>
      </c>
      <c r="BM24" s="116" t="s">
        <v>39</v>
      </c>
      <c r="BN24" s="129" t="s">
        <v>39</v>
      </c>
      <c r="BO24" s="116"/>
      <c r="BP24" s="116" t="s">
        <v>39</v>
      </c>
      <c r="BQ24" s="116" t="s">
        <v>39</v>
      </c>
      <c r="BR24" s="129"/>
      <c r="BS24" s="116"/>
      <c r="BT24" s="116"/>
      <c r="BU24" s="129"/>
      <c r="BV24" s="129"/>
      <c r="BW24" s="116"/>
      <c r="BX24" s="116"/>
      <c r="BY24" s="129"/>
      <c r="BZ24" s="129"/>
      <c r="CA24" s="116"/>
      <c r="CB24" s="116"/>
      <c r="CC24" s="129"/>
      <c r="CD24" s="129"/>
      <c r="CE24" s="116"/>
      <c r="CF24" s="116" t="s">
        <v>39</v>
      </c>
      <c r="CG24" s="129" t="s">
        <v>39</v>
      </c>
      <c r="CH24" s="129" t="s">
        <v>39</v>
      </c>
      <c r="CI24" s="116"/>
      <c r="CJ24" s="116" t="s">
        <v>39</v>
      </c>
      <c r="CK24" s="116" t="s">
        <v>39</v>
      </c>
      <c r="CL24" s="129" t="s">
        <v>39</v>
      </c>
      <c r="CM24" s="116"/>
      <c r="CN24" s="116"/>
      <c r="CO24" s="116"/>
      <c r="CP24" s="129"/>
      <c r="CQ24" s="116"/>
      <c r="CR24" s="116"/>
      <c r="CS24" s="129"/>
      <c r="CT24" s="129"/>
      <c r="CU24" s="116"/>
      <c r="CV24" s="116"/>
      <c r="CW24" s="129"/>
      <c r="CX24" s="129"/>
      <c r="CY24" s="126"/>
      <c r="CZ24" s="116" t="s">
        <v>39</v>
      </c>
      <c r="DA24" s="129" t="s">
        <v>39</v>
      </c>
      <c r="DB24" s="129"/>
      <c r="DC24" s="126"/>
      <c r="DD24" s="118" t="s">
        <v>39</v>
      </c>
      <c r="DE24" s="120" t="s">
        <v>39</v>
      </c>
      <c r="DF24" s="120" t="s">
        <v>39</v>
      </c>
      <c r="DG24" s="118"/>
      <c r="DH24" s="118"/>
      <c r="DI24" s="118"/>
      <c r="DJ24" s="120"/>
      <c r="DK24" s="118"/>
      <c r="DL24" s="116"/>
      <c r="DM24" s="120"/>
      <c r="DN24" s="120"/>
      <c r="DO24" s="118"/>
      <c r="DP24" s="116"/>
      <c r="DQ24" s="129"/>
      <c r="DR24" s="129"/>
      <c r="DS24" s="116"/>
      <c r="DU24" s="420">
        <f>H24+AB24</f>
        <v>983.53747999999996</v>
      </c>
      <c r="DV24" s="420">
        <f>I24+AC24</f>
        <v>947.51510199999996</v>
      </c>
    </row>
    <row r="25" spans="1:126" ht="49.5" customHeight="1" x14ac:dyDescent="0.2">
      <c r="A25" s="131" t="s">
        <v>65</v>
      </c>
      <c r="B25" s="246" t="s">
        <v>38</v>
      </c>
      <c r="C25" s="106" t="s">
        <v>40</v>
      </c>
      <c r="D25" s="118" t="s">
        <v>39</v>
      </c>
      <c r="E25" s="118" t="s">
        <v>39</v>
      </c>
      <c r="F25" s="118" t="s">
        <v>39</v>
      </c>
      <c r="G25" s="118"/>
      <c r="H25" s="118" t="s">
        <v>39</v>
      </c>
      <c r="I25" s="118" t="s">
        <v>39</v>
      </c>
      <c r="J25" s="116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 t="s">
        <v>39</v>
      </c>
      <c r="Y25" s="118" t="s">
        <v>39</v>
      </c>
      <c r="Z25" s="129" t="s">
        <v>39</v>
      </c>
      <c r="AA25" s="119"/>
      <c r="AB25" s="118" t="s">
        <v>39</v>
      </c>
      <c r="AC25" s="118" t="s">
        <v>39</v>
      </c>
      <c r="AD25" s="129"/>
      <c r="AE25" s="119"/>
      <c r="AF25" s="118"/>
      <c r="AG25" s="118"/>
      <c r="AH25" s="129"/>
      <c r="AI25" s="119"/>
      <c r="AJ25" s="118"/>
      <c r="AK25" s="118"/>
      <c r="AL25" s="129"/>
      <c r="AM25" s="119"/>
      <c r="AN25" s="118"/>
      <c r="AO25" s="118"/>
      <c r="AP25" s="129"/>
      <c r="AQ25" s="118"/>
      <c r="AR25" s="304">
        <v>2.1075960896229278</v>
      </c>
      <c r="AS25" s="305">
        <v>2.1075960896229278</v>
      </c>
      <c r="AT25" s="305">
        <v>0</v>
      </c>
      <c r="AU25" s="118"/>
      <c r="AV25" s="118">
        <f t="shared" ref="AV25" si="48">AV26/AV27</f>
        <v>2.1075285875437486</v>
      </c>
      <c r="AW25" s="312">
        <f>AV25</f>
        <v>2.1075285875437486</v>
      </c>
      <c r="AX25" s="118">
        <f>AW25-AV25</f>
        <v>0</v>
      </c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>
        <v>0.64733571832046699</v>
      </c>
      <c r="BM25" s="118">
        <v>0.33778999999999998</v>
      </c>
      <c r="BN25" s="118">
        <v>-0.30954571832046701</v>
      </c>
      <c r="BO25" s="118"/>
      <c r="BP25" s="118">
        <f t="shared" ref="BP25" si="49">BP26/BP27</f>
        <v>0.64745781017589943</v>
      </c>
      <c r="BQ25" s="313">
        <f>BP25</f>
        <v>0.64745781017589943</v>
      </c>
      <c r="BR25" s="118">
        <f>BQ25-BP25</f>
        <v>0</v>
      </c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>
        <f t="shared" ref="CF25" si="50">CF26/CF27</f>
        <v>0.90745993503425038</v>
      </c>
      <c r="CG25" s="118">
        <f>CG26/CG27</f>
        <v>0.90731552834371365</v>
      </c>
      <c r="CH25" s="118">
        <f>CG25-CF25</f>
        <v>-1.4440669053672472E-4</v>
      </c>
      <c r="CI25" s="118"/>
      <c r="CJ25" s="118">
        <f t="shared" ref="CJ25" si="51">CJ26/CJ27</f>
        <v>0.90745993503425026</v>
      </c>
      <c r="CK25" s="118">
        <f>CK26/CK27</f>
        <v>1.1842173621708054</v>
      </c>
      <c r="CL25" s="118">
        <f>CK25-CJ25</f>
        <v>0.27675742713655516</v>
      </c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29"/>
      <c r="CY25" s="119"/>
      <c r="CZ25" s="118">
        <f>CZ26/CZ27</f>
        <v>1.4097266385871583</v>
      </c>
      <c r="DA25" s="118">
        <f>DA26/DA27</f>
        <v>1.0560121291543381</v>
      </c>
      <c r="DB25" s="129">
        <f t="shared" si="41"/>
        <v>-0.35371450943282023</v>
      </c>
      <c r="DC25" s="119"/>
      <c r="DD25" s="118">
        <f t="shared" ref="DD25:DE25" si="52">DD26/DD27</f>
        <v>1.4097266385871581</v>
      </c>
      <c r="DE25" s="118">
        <f t="shared" si="52"/>
        <v>1.3322624378905334</v>
      </c>
      <c r="DF25" s="129">
        <f>DE25-DD25</f>
        <v>-7.746420069662463E-2</v>
      </c>
      <c r="DG25" s="129"/>
      <c r="DH25" s="129"/>
      <c r="DI25" s="118"/>
      <c r="DJ25" s="129"/>
      <c r="DK25" s="129"/>
      <c r="DL25" s="118"/>
      <c r="DM25" s="118"/>
      <c r="DN25" s="129"/>
      <c r="DO25" s="129"/>
      <c r="DP25" s="118"/>
      <c r="DQ25" s="118"/>
      <c r="DR25" s="118"/>
      <c r="DS25" s="118"/>
      <c r="DU25" s="118">
        <f t="shared" ref="DU25:DV25" si="53">DU26/DU27</f>
        <v>1.2033562508783302</v>
      </c>
      <c r="DV25" s="118">
        <f t="shared" si="53"/>
        <v>1.2119228543933525</v>
      </c>
    </row>
    <row r="26" spans="1:126" ht="72" customHeight="1" x14ac:dyDescent="0.2">
      <c r="A26" s="131" t="s">
        <v>33</v>
      </c>
      <c r="B26" s="246" t="s">
        <v>63</v>
      </c>
      <c r="C26" s="248" t="s">
        <v>69</v>
      </c>
      <c r="D26" s="129" t="s">
        <v>39</v>
      </c>
      <c r="E26" s="129" t="s">
        <v>39</v>
      </c>
      <c r="F26" s="129" t="s">
        <v>39</v>
      </c>
      <c r="G26" s="129"/>
      <c r="H26" s="129" t="s">
        <v>39</v>
      </c>
      <c r="I26" s="129" t="s">
        <v>39</v>
      </c>
      <c r="J26" s="116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18" t="s">
        <v>39</v>
      </c>
      <c r="Y26" s="118" t="s">
        <v>39</v>
      </c>
      <c r="Z26" s="129" t="s">
        <v>39</v>
      </c>
      <c r="AA26" s="126"/>
      <c r="AB26" s="129" t="s">
        <v>39</v>
      </c>
      <c r="AC26" s="129" t="s">
        <v>39</v>
      </c>
      <c r="AD26" s="129"/>
      <c r="AE26" s="126"/>
      <c r="AF26" s="129"/>
      <c r="AG26" s="129"/>
      <c r="AH26" s="129"/>
      <c r="AI26" s="126"/>
      <c r="AJ26" s="129"/>
      <c r="AK26" s="129"/>
      <c r="AL26" s="129"/>
      <c r="AM26" s="126"/>
      <c r="AN26" s="129"/>
      <c r="AO26" s="129"/>
      <c r="AP26" s="129"/>
      <c r="AQ26" s="126"/>
      <c r="AR26" s="306">
        <v>34.71</v>
      </c>
      <c r="AS26" s="307">
        <v>31.378444880077719</v>
      </c>
      <c r="AT26" s="307">
        <v>-3.3315551199222817</v>
      </c>
      <c r="AU26" s="126"/>
      <c r="AV26" s="129">
        <v>34.219941675947844</v>
      </c>
      <c r="AW26" s="129">
        <f>AW25*AW27</f>
        <v>30.493831133170499</v>
      </c>
      <c r="AX26" s="129">
        <f>AW26-AV26</f>
        <v>-3.7261105427773451</v>
      </c>
      <c r="AY26" s="129"/>
      <c r="AZ26" s="129"/>
      <c r="BA26" s="121"/>
      <c r="BB26" s="129"/>
      <c r="BC26" s="126"/>
      <c r="BD26" s="129"/>
      <c r="BE26" s="129"/>
      <c r="BF26" s="129"/>
      <c r="BG26" s="129"/>
      <c r="BH26" s="129"/>
      <c r="BI26" s="129"/>
      <c r="BJ26" s="129"/>
      <c r="BK26" s="129"/>
      <c r="BL26" s="129">
        <v>17.190000000000001</v>
      </c>
      <c r="BM26" s="129">
        <v>8.7060602905199982</v>
      </c>
      <c r="BN26" s="129">
        <v>-8.4839397094800031</v>
      </c>
      <c r="BO26" s="129" t="s">
        <v>166</v>
      </c>
      <c r="BP26" s="120">
        <v>16.942768563149791</v>
      </c>
      <c r="BQ26" s="120">
        <f>BQ25*BQ27</f>
        <v>17.900268667764333</v>
      </c>
      <c r="BR26" s="129">
        <f>BQ26-BP26</f>
        <v>0.95750010461454238</v>
      </c>
      <c r="BS26" s="129" t="s">
        <v>166</v>
      </c>
      <c r="BT26" s="129"/>
      <c r="BU26" s="129"/>
      <c r="BV26" s="129"/>
      <c r="BW26" s="129"/>
      <c r="BX26" s="129"/>
      <c r="BY26" s="121"/>
      <c r="BZ26" s="129"/>
      <c r="CA26" s="126"/>
      <c r="CB26" s="129"/>
      <c r="CC26" s="129"/>
      <c r="CD26" s="129"/>
      <c r="CE26" s="129"/>
      <c r="CF26" s="120">
        <v>17.193000000000001</v>
      </c>
      <c r="CG26" s="120">
        <v>12.441771050353635</v>
      </c>
      <c r="CH26" s="129">
        <f>CG26-CF26</f>
        <v>-4.7512289496463662</v>
      </c>
      <c r="CI26" s="129"/>
      <c r="CJ26" s="120">
        <v>16.135057798858892</v>
      </c>
      <c r="CK26" s="120">
        <v>17.391999999999999</v>
      </c>
      <c r="CL26" s="129">
        <f>CK26-CJ26</f>
        <v>1.2569422011411078</v>
      </c>
      <c r="CM26" s="129"/>
      <c r="CN26" s="120"/>
      <c r="CO26" s="120"/>
      <c r="CP26" s="129"/>
      <c r="CQ26" s="129"/>
      <c r="CR26" s="129"/>
      <c r="CS26" s="129"/>
      <c r="CT26" s="129"/>
      <c r="CU26" s="126"/>
      <c r="CV26" s="129"/>
      <c r="CW26" s="121"/>
      <c r="CX26" s="129"/>
      <c r="CY26" s="126"/>
      <c r="CZ26" s="120">
        <v>34.806666666666665</v>
      </c>
      <c r="DA26" s="120">
        <v>25.158000000000001</v>
      </c>
      <c r="DB26" s="129">
        <f t="shared" si="41"/>
        <v>-9.6486666666666636</v>
      </c>
      <c r="DC26" s="126"/>
      <c r="DD26" s="120">
        <v>35.022505683120826</v>
      </c>
      <c r="DE26" s="120">
        <v>33.811999999999998</v>
      </c>
      <c r="DF26" s="129">
        <f>DE26-DD26</f>
        <v>-1.2105056831208287</v>
      </c>
      <c r="DG26" s="129" t="s">
        <v>232</v>
      </c>
      <c r="DH26" s="129"/>
      <c r="DI26" s="129"/>
      <c r="DJ26" s="129"/>
      <c r="DK26" s="129"/>
      <c r="DL26" s="120"/>
      <c r="DM26" s="120"/>
      <c r="DN26" s="129"/>
      <c r="DO26" s="129"/>
      <c r="DP26" s="129"/>
      <c r="DQ26" s="129"/>
      <c r="DR26" s="129"/>
      <c r="DS26" s="126"/>
      <c r="DU26" s="420">
        <f>AV26+BP26+CJ26+DD26</f>
        <v>102.32027372107736</v>
      </c>
      <c r="DV26" s="420">
        <f>AW26+BQ26+CK26+DE26</f>
        <v>99.598099800934833</v>
      </c>
    </row>
    <row r="27" spans="1:126" ht="20.100000000000001" customHeight="1" x14ac:dyDescent="0.2">
      <c r="A27" s="131" t="s">
        <v>34</v>
      </c>
      <c r="B27" s="246" t="s">
        <v>64</v>
      </c>
      <c r="C27" s="248" t="s">
        <v>66</v>
      </c>
      <c r="D27" s="129" t="s">
        <v>39</v>
      </c>
      <c r="E27" s="129" t="s">
        <v>39</v>
      </c>
      <c r="F27" s="129" t="s">
        <v>39</v>
      </c>
      <c r="G27" s="129"/>
      <c r="H27" s="129" t="s">
        <v>39</v>
      </c>
      <c r="I27" s="129" t="s">
        <v>39</v>
      </c>
      <c r="J27" s="116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18" t="s">
        <v>39</v>
      </c>
      <c r="Y27" s="118" t="s">
        <v>39</v>
      </c>
      <c r="Z27" s="129" t="s">
        <v>39</v>
      </c>
      <c r="AA27" s="129"/>
      <c r="AB27" s="129" t="s">
        <v>39</v>
      </c>
      <c r="AC27" s="129" t="s">
        <v>39</v>
      </c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308">
        <v>16.469000000000001</v>
      </c>
      <c r="AS27" s="309">
        <v>14.888263</v>
      </c>
      <c r="AT27" s="309">
        <v>-1.5807370000000009</v>
      </c>
      <c r="AU27" s="129"/>
      <c r="AV27" s="118">
        <v>16.236999999999998</v>
      </c>
      <c r="AW27" s="118">
        <f>14469/1000</f>
        <v>14.468999999999999</v>
      </c>
      <c r="AX27" s="129">
        <f>AW27-AV27</f>
        <v>-1.7679999999999989</v>
      </c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>
        <v>26.555</v>
      </c>
      <c r="BM27" s="129">
        <v>25.773587999999997</v>
      </c>
      <c r="BN27" s="129">
        <v>-0.7814120000000031</v>
      </c>
      <c r="BO27" s="129"/>
      <c r="BP27" s="118">
        <v>26.168143000000001</v>
      </c>
      <c r="BQ27" s="118">
        <f>27647.004/1000</f>
        <v>27.647004000000003</v>
      </c>
      <c r="BR27" s="129">
        <f>BQ27-BP27</f>
        <v>1.478861000000002</v>
      </c>
      <c r="BS27" s="129"/>
      <c r="BT27" s="129"/>
      <c r="BU27" s="129"/>
      <c r="BV27" s="129"/>
      <c r="BW27" s="129"/>
      <c r="BX27" s="129"/>
      <c r="BY27" s="129"/>
      <c r="BZ27" s="129"/>
      <c r="CA27" s="129"/>
      <c r="CB27" s="129"/>
      <c r="CC27" s="129"/>
      <c r="CD27" s="129"/>
      <c r="CE27" s="129"/>
      <c r="CF27" s="118">
        <v>18.946290999999999</v>
      </c>
      <c r="CG27" s="118">
        <f>CG20</f>
        <v>13.712727999999998</v>
      </c>
      <c r="CH27" s="129">
        <f>CG27-CF27</f>
        <v>-5.2335630000000002</v>
      </c>
      <c r="CI27" s="129"/>
      <c r="CJ27" s="118">
        <v>17.780463000000001</v>
      </c>
      <c r="CK27" s="118">
        <f>14686.493/1000</f>
        <v>14.686493</v>
      </c>
      <c r="CL27" s="129">
        <f>CK27-CJ27</f>
        <v>-3.0939700000000006</v>
      </c>
      <c r="CM27" s="129"/>
      <c r="CN27" s="118"/>
      <c r="CO27" s="118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18">
        <v>24.690366000000001</v>
      </c>
      <c r="DA27" s="118">
        <v>23.823590000000003</v>
      </c>
      <c r="DB27" s="129">
        <f t="shared" si="41"/>
        <v>-0.86677599999999799</v>
      </c>
      <c r="DC27" s="129"/>
      <c r="DD27" s="118">
        <v>24.843473000000003</v>
      </c>
      <c r="DE27" s="118">
        <f>25379.384/1000</f>
        <v>25.379383999999998</v>
      </c>
      <c r="DF27" s="129">
        <f>DE27-DD27</f>
        <v>0.53591099999999514</v>
      </c>
      <c r="DG27" s="129"/>
      <c r="DH27" s="129"/>
      <c r="DI27" s="129"/>
      <c r="DJ27" s="129"/>
      <c r="DK27" s="129"/>
      <c r="DL27" s="118"/>
      <c r="DM27" s="118"/>
      <c r="DN27" s="129"/>
      <c r="DO27" s="129"/>
      <c r="DP27" s="129"/>
      <c r="DQ27" s="129"/>
      <c r="DR27" s="129"/>
      <c r="DS27" s="129"/>
      <c r="DT27" s="3"/>
      <c r="DU27" s="420">
        <f>AV27+BP27+CJ27+DD27</f>
        <v>85.029078999999996</v>
      </c>
      <c r="DV27" s="420">
        <f>AW27+BQ27+CK27+DE27</f>
        <v>82.181881000000004</v>
      </c>
    </row>
    <row r="29" spans="1:126" x14ac:dyDescent="0.2">
      <c r="AK29" s="2" t="e">
        <f>AK26/AK20</f>
        <v>#DIV/0!</v>
      </c>
    </row>
  </sheetData>
  <mergeCells count="136">
    <mergeCell ref="G4:G5"/>
    <mergeCell ref="BO4:BO5"/>
    <mergeCell ref="BT3:CE3"/>
    <mergeCell ref="P3:W3"/>
    <mergeCell ref="CF3:CI3"/>
    <mergeCell ref="CJ3:CM3"/>
    <mergeCell ref="CN3:CY3"/>
    <mergeCell ref="CZ3:DC3"/>
    <mergeCell ref="DD3:DG3"/>
    <mergeCell ref="H3:K3"/>
    <mergeCell ref="L3:O3"/>
    <mergeCell ref="X3:AA3"/>
    <mergeCell ref="AB3:AE3"/>
    <mergeCell ref="AR3:AU3"/>
    <mergeCell ref="AV3:AY3"/>
    <mergeCell ref="BL3:BO3"/>
    <mergeCell ref="BP3:BS3"/>
    <mergeCell ref="D4:E4"/>
    <mergeCell ref="F4:F5"/>
    <mergeCell ref="A1:AE1"/>
    <mergeCell ref="BO8:BO9"/>
    <mergeCell ref="CQ11:CQ12"/>
    <mergeCell ref="DN4:DN5"/>
    <mergeCell ref="DO4:DO5"/>
    <mergeCell ref="DO11:DO12"/>
    <mergeCell ref="AT4:AT5"/>
    <mergeCell ref="AU4:AU5"/>
    <mergeCell ref="AU8:AU9"/>
    <mergeCell ref="AU11:AU12"/>
    <mergeCell ref="BR4:BR5"/>
    <mergeCell ref="BS4:BS5"/>
    <mergeCell ref="BX4:BY4"/>
    <mergeCell ref="BZ4:BZ5"/>
    <mergeCell ref="CA4:CA5"/>
    <mergeCell ref="AB4:AC4"/>
    <mergeCell ref="N4:N5"/>
    <mergeCell ref="O4:O5"/>
    <mergeCell ref="AE8:AE9"/>
    <mergeCell ref="AE11:AE12"/>
    <mergeCell ref="BS8:BS9"/>
    <mergeCell ref="BS11:BS12"/>
    <mergeCell ref="DL4:DM4"/>
    <mergeCell ref="CZ4:DA4"/>
    <mergeCell ref="B18:DS18"/>
    <mergeCell ref="C2:C5"/>
    <mergeCell ref="AZ4:BA4"/>
    <mergeCell ref="BB4:BB5"/>
    <mergeCell ref="BC4:BC5"/>
    <mergeCell ref="AF4:AG4"/>
    <mergeCell ref="AX4:AX5"/>
    <mergeCell ref="AV4:AW4"/>
    <mergeCell ref="AQ4:AQ5"/>
    <mergeCell ref="B14:DS14"/>
    <mergeCell ref="DS4:DS5"/>
    <mergeCell ref="B2:B5"/>
    <mergeCell ref="DP4:DQ4"/>
    <mergeCell ref="Z4:Z5"/>
    <mergeCell ref="DC4:DC5"/>
    <mergeCell ref="CM4:CM5"/>
    <mergeCell ref="CV4:CW4"/>
    <mergeCell ref="CX4:CX5"/>
    <mergeCell ref="CY4:CY5"/>
    <mergeCell ref="BO11:BO12"/>
    <mergeCell ref="D2:DS2"/>
    <mergeCell ref="D3:G3"/>
    <mergeCell ref="DR4:DR5"/>
    <mergeCell ref="CQ4:CQ5"/>
    <mergeCell ref="A2:A5"/>
    <mergeCell ref="H4:I4"/>
    <mergeCell ref="J4:J5"/>
    <mergeCell ref="K4:K5"/>
    <mergeCell ref="BW4:BW5"/>
    <mergeCell ref="BL4:BM4"/>
    <mergeCell ref="DB4:DB5"/>
    <mergeCell ref="AY4:AY5"/>
    <mergeCell ref="AA4:AA5"/>
    <mergeCell ref="CD4:CD5"/>
    <mergeCell ref="CE4:CE5"/>
    <mergeCell ref="CB4:CC4"/>
    <mergeCell ref="P4:Q4"/>
    <mergeCell ref="R4:R5"/>
    <mergeCell ref="S4:S5"/>
    <mergeCell ref="BV4:BV5"/>
    <mergeCell ref="CJ4:CK4"/>
    <mergeCell ref="CL4:CL5"/>
    <mergeCell ref="L4:M4"/>
    <mergeCell ref="X4:Y4"/>
    <mergeCell ref="DK4:DK5"/>
    <mergeCell ref="DG4:DG5"/>
    <mergeCell ref="G8:G9"/>
    <mergeCell ref="G11:G12"/>
    <mergeCell ref="CQ8:CQ9"/>
    <mergeCell ref="AR4:AS4"/>
    <mergeCell ref="BP4:BQ4"/>
    <mergeCell ref="CN4:CO4"/>
    <mergeCell ref="BT4:BU4"/>
    <mergeCell ref="AA8:AA9"/>
    <mergeCell ref="AA11:AA12"/>
    <mergeCell ref="K8:K9"/>
    <mergeCell ref="T4:U4"/>
    <mergeCell ref="V4:V5"/>
    <mergeCell ref="W4:W5"/>
    <mergeCell ref="AN4:AO4"/>
    <mergeCell ref="AD4:AD5"/>
    <mergeCell ref="AE4:AE5"/>
    <mergeCell ref="AJ4:AK4"/>
    <mergeCell ref="AL4:AL5"/>
    <mergeCell ref="AM4:AM5"/>
    <mergeCell ref="AH4:AH5"/>
    <mergeCell ref="AI4:AI5"/>
    <mergeCell ref="B7:DS7"/>
    <mergeCell ref="CU4:CU5"/>
    <mergeCell ref="CT4:CT5"/>
    <mergeCell ref="DK11:DK12"/>
    <mergeCell ref="DG11:DG12"/>
    <mergeCell ref="BN4:BN5"/>
    <mergeCell ref="CF4:CG4"/>
    <mergeCell ref="CH4:CH5"/>
    <mergeCell ref="CI4:CI5"/>
    <mergeCell ref="DD4:DE4"/>
    <mergeCell ref="DF4:DF5"/>
    <mergeCell ref="AM8:AM9"/>
    <mergeCell ref="AM11:AM12"/>
    <mergeCell ref="BH4:BI4"/>
    <mergeCell ref="BJ4:BJ5"/>
    <mergeCell ref="BK4:BK5"/>
    <mergeCell ref="AP4:AP5"/>
    <mergeCell ref="BF4:BF5"/>
    <mergeCell ref="BG4:BG5"/>
    <mergeCell ref="BD4:BE4"/>
    <mergeCell ref="AQ8:AQ9"/>
    <mergeCell ref="AQ11:AQ12"/>
    <mergeCell ref="CR4:CS4"/>
    <mergeCell ref="DH4:DI4"/>
    <mergeCell ref="DJ4:DJ5"/>
    <mergeCell ref="CP4:CP5"/>
  </mergeCells>
  <phoneticPr fontId="3" type="noConversion"/>
  <printOptions horizontalCentered="1"/>
  <pageMargins left="0.39370078740157483" right="0.39370078740157483" top="0.78740157480314965" bottom="0.19685039370078741" header="0" footer="0"/>
  <pageSetup paperSize="9" scale="24" fitToWidth="12" orientation="portrait" r:id="rId1"/>
  <headerFooter alignWithMargins="0"/>
  <colBreaks count="6" manualBreakCount="6">
    <brk id="23" max="26" man="1"/>
    <brk id="43" max="26" man="1"/>
    <brk id="59" max="26" man="1"/>
    <brk id="67" max="26" man="1"/>
    <brk id="71" max="26" man="1"/>
    <brk id="95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раздел 1</vt:lpstr>
      <vt:lpstr>раздел 2</vt:lpstr>
      <vt:lpstr>раздел 3</vt:lpstr>
      <vt:lpstr>раздел 4</vt:lpstr>
      <vt:lpstr>раздел 5</vt:lpstr>
      <vt:lpstr>'раздел 2'!Заголовки_для_печати</vt:lpstr>
      <vt:lpstr>'раздел 3'!Заголовки_для_печати</vt:lpstr>
      <vt:lpstr>'раздел 5'!Заголовки_для_печати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Петрова Татьяна Геннадьевна</cp:lastModifiedBy>
  <cp:lastPrinted>2026-04-01T22:49:55Z</cp:lastPrinted>
  <dcterms:created xsi:type="dcterms:W3CDTF">1996-10-08T23:32:33Z</dcterms:created>
  <dcterms:modified xsi:type="dcterms:W3CDTF">2026-06-23T05:36:32Z</dcterms:modified>
</cp:coreProperties>
</file>