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6270" yWindow="585" windowWidth="14895" windowHeight="12630" tabRatio="884" activeTab="4"/>
  </bookViews>
  <sheets>
    <sheet name="раздел 1" sheetId="33" r:id="rId1"/>
    <sheet name="раздел 2" sheetId="38" r:id="rId2"/>
    <sheet name="раздел 3" sheetId="23" r:id="rId3"/>
    <sheet name="раздел 4" sheetId="56" r:id="rId4"/>
    <sheet name="раздел 5" sheetId="5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ed_izm">[1]Справочники!$F$17:$F$33</definedName>
    <definedName name="GBTSM.XLS">#REF!</definedName>
    <definedName name="Print_Area">#REF!</definedName>
    <definedName name="vid_top">[1]Справочники!$E$17:$E$33</definedName>
    <definedName name="анализы">[2]БАЗА!$A$67:$A$80</definedName>
    <definedName name="аэ">#REF!</definedName>
    <definedName name="_xlnm.Database">#REF!</definedName>
    <definedName name="бд">'[3]От табл 11'!#REF!</definedName>
    <definedName name="бф">#REF!</definedName>
    <definedName name="вариант">[4]все!$B$188:$B$191</definedName>
    <definedName name="вариант_расчета_код">[5]Настройка!$C$3</definedName>
    <definedName name="Варианты">[4]База!#REF!</definedName>
    <definedName name="вид_тарифа">[4]разное!$C$90:$C$91</definedName>
    <definedName name="вид_тарифа_1">[4]разное!$C$95:$C$96</definedName>
    <definedName name="Внутрицеховые">[4]Основ.показ.!#REF!</definedName>
    <definedName name="вс">#REF!</definedName>
    <definedName name="всестатьи">[6]разное!$C$63:$C$77</definedName>
    <definedName name="втот">#REF!</definedName>
    <definedName name="Гараж">[4]все!$B$27:$B$33</definedName>
    <definedName name="год">[5]Настройка!$B$1</definedName>
    <definedName name="данет">[7]ИСХДАННЫЕ!$V$196:$V$197</definedName>
    <definedName name="данные">[8]данные!$A$171:$E$197</definedName>
    <definedName name="двор">[9]нраб!$B$86:$F$89</definedName>
    <definedName name="двот">[9]тарифы!$B$40:$E$40</definedName>
    <definedName name="диам">[4]все!$D$45:$D$65</definedName>
    <definedName name="диаметр">[10]все!$D$45:$D$65</definedName>
    <definedName name="диаметр2">[7]НОРМЫ!$A$381:$A$404</definedName>
    <definedName name="диаметры">[7]НОРМЫ!$A$28:$A$50</definedName>
    <definedName name="дн">[4]все!$B$35:$B$36</definedName>
    <definedName name="до">#REF!</definedName>
    <definedName name="доза">[4]все!$B$182:$B$183</definedName>
    <definedName name="допоборуд">[4]все!$B$101:$B$109</definedName>
    <definedName name="дот">#REF!</definedName>
    <definedName name="ЕСН_процент">[5]ФОТ!$D$15</definedName>
    <definedName name="етс">[9]етс!$B$5:$T$15</definedName>
    <definedName name="етс1">#REF!</definedName>
    <definedName name="_xlnm.Print_Titles" localSheetId="1">'раздел 2'!$A:$C</definedName>
    <definedName name="_xlnm.Print_Titles" localSheetId="4">'раздел 5'!$A:$C</definedName>
    <definedName name="закл">[11]етс!$A$12:$B$31</definedName>
    <definedName name="защ">[9]нраб!$A$67:$G$85</definedName>
    <definedName name="зон">#REF!</definedName>
    <definedName name="зона">[4]Основ.показ.!#REF!</definedName>
    <definedName name="инд">'[9]инд-вода'!$B$2:$O$22</definedName>
    <definedName name="ип">#REF!</definedName>
    <definedName name="ккв">#REF!</definedName>
    <definedName name="ккл">#REF!</definedName>
    <definedName name="ккп">#REF!</definedName>
    <definedName name="ккс">[9]тарифы!$B$127:$E$131</definedName>
    <definedName name="код">[10]все!$B$27:$B$33</definedName>
    <definedName name="котельные">'[12]Исходные данные'!$A$224:$A$245</definedName>
    <definedName name="кпсв">#REF!</definedName>
    <definedName name="крит">'[13]От табл 11'!#REF!</definedName>
    <definedName name="_xlnm.Criteria">#REF!</definedName>
    <definedName name="кс">#REF!</definedName>
    <definedName name="мазут3">[2]БАЗА!$A$40:$A$44</definedName>
    <definedName name="мазут4">[2]БАЗА!$A$45:$A$49</definedName>
    <definedName name="мазут5">[2]БАЗА!$A$50:$A$54</definedName>
    <definedName name="мат">[4]все!$E$43:$P$43</definedName>
    <definedName name="материалтруб">#REF!</definedName>
    <definedName name="мбп">[9]нраб!$A$42:$G$63</definedName>
    <definedName name="мет">#REF!</definedName>
    <definedName name="мо">[10]все!$AY$40:$AY$59</definedName>
    <definedName name="МчасВод">[4]База!#REF!</definedName>
    <definedName name="МчасКан">[4]База!#REF!</definedName>
    <definedName name="назнач">[4]все!$B$114:$B$117</definedName>
    <definedName name="наименование_организации">[5]Настройка!$B$12</definedName>
    <definedName name="нвс">#REF!</definedName>
    <definedName name="ндс">[4]разное!$C$2:$C$3</definedName>
    <definedName name="нормы">[4]Основ.показ.!#REF!</definedName>
    <definedName name="нс">#REF!</definedName>
    <definedName name="нсв">#REF!</definedName>
    <definedName name="нск">#REF!</definedName>
    <definedName name="о">#REF!</definedName>
    <definedName name="_xlnm.Print_Area" localSheetId="2">'раздел 3'!$A$1:$J$89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[9]тарифы!$B$133:$E$139</definedName>
    <definedName name="орпа">#REF!</definedName>
    <definedName name="орэ">#REF!</definedName>
    <definedName name="от">[11]етс!$A$12:$B$31</definedName>
    <definedName name="отоп">[14]отоп!#REF!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[4]все!$B$114:$B$117</definedName>
    <definedName name="причины">[15]разное!$C$51:$C$68</definedName>
    <definedName name="прнпо">#REF!</definedName>
    <definedName name="прог">#REF!</definedName>
    <definedName name="промывка">[10]все!$B$171:$B$172</definedName>
    <definedName name="пф">#REF!</definedName>
    <definedName name="р">#REF!</definedName>
    <definedName name="раб">'[9]Парам (2)'!$B$5:$P$83</definedName>
    <definedName name="разрадКан">[4]Нормативы!$D$600:$F$600</definedName>
    <definedName name="разрядВ">[4]Нормативы!$D$539:$F$539</definedName>
    <definedName name="Сбросы">[4]База!$C$141:$C$285</definedName>
    <definedName name="сго">#REF!</definedName>
    <definedName name="сети">[4]разное!$C$98:$C$99</definedName>
    <definedName name="со">#REF!</definedName>
    <definedName name="СобЖКУ">[4]Основ.показ.!#REF!</definedName>
    <definedName name="спец">[9]нраб!$A$4:$G$38</definedName>
    <definedName name="ст">[10]все!$B$38:$B$39</definedName>
    <definedName name="стадиипроцесса">[4]все!$B$19:$B$24</definedName>
    <definedName name="статьи">[15]разное!$C$70:$C$84</definedName>
    <definedName name="ств">#REF!</definedName>
    <definedName name="т">#REF!</definedName>
    <definedName name="таб">#REF!</definedName>
    <definedName name="тарифы">[4]разное!#REF!</definedName>
    <definedName name="тарифыЖКУ">[4]Основ.показ.!#REF!</definedName>
    <definedName name="тем">[16]от!$B$4:$M$29</definedName>
    <definedName name="тип">[7]НОРМЫ!$H$551:$H$552</definedName>
    <definedName name="топливо">[7]НОРМЫ!$A$320:$A$330</definedName>
    <definedName name="трубы">[10]все!$E$43:$P$43</definedName>
    <definedName name="уваж">[4]разное!$C$36:$C$37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АХП">[13]тарифы!#REF!</definedName>
    <definedName name="хво">[7]НОРМЫ!$B$117:$B$119</definedName>
    <definedName name="хзв">#REF!</definedName>
    <definedName name="хл">#REF!</definedName>
    <definedName name="эксп">#REF!</definedName>
    <definedName name="ЭЦВ">[17]насосы!$B$26:$B$269</definedName>
  </definedNames>
  <calcPr calcId="145621"/>
</workbook>
</file>

<file path=xl/calcChain.xml><?xml version="1.0" encoding="utf-8"?>
<calcChain xmlns="http://schemas.openxmlformats.org/spreadsheetml/2006/main">
  <c r="BB19" i="58" l="1"/>
  <c r="AX19" i="58"/>
  <c r="AT19" i="58"/>
  <c r="BB11" i="58"/>
  <c r="AX11" i="58"/>
  <c r="AT11" i="58"/>
  <c r="BB8" i="58"/>
  <c r="AX8" i="58"/>
  <c r="AT8" i="58"/>
  <c r="AP19" i="58"/>
  <c r="AL19" i="58"/>
  <c r="AH19" i="58"/>
  <c r="AD19" i="58"/>
  <c r="Z19" i="58"/>
  <c r="AP11" i="58"/>
  <c r="AL11" i="58"/>
  <c r="AH11" i="58"/>
  <c r="AD11" i="58"/>
  <c r="Z11" i="58"/>
  <c r="AP8" i="58"/>
  <c r="AL8" i="58"/>
  <c r="AH8" i="58"/>
  <c r="AD8" i="58"/>
  <c r="Z8" i="58"/>
  <c r="V19" i="58"/>
  <c r="V11" i="58"/>
  <c r="V8" i="58"/>
  <c r="R19" i="58"/>
  <c r="R11" i="58"/>
  <c r="R8" i="58"/>
  <c r="N19" i="58"/>
  <c r="N11" i="58"/>
  <c r="N8" i="58"/>
  <c r="J19" i="58"/>
  <c r="J11" i="58"/>
  <c r="J8" i="58"/>
  <c r="F19" i="58"/>
  <c r="F11" i="58"/>
  <c r="F8" i="58"/>
  <c r="BB24" i="58" l="1"/>
  <c r="BB23" i="58"/>
  <c r="BB22" i="58"/>
  <c r="BB21" i="58"/>
  <c r="BB20" i="58"/>
  <c r="AX24" i="58"/>
  <c r="AX23" i="58"/>
  <c r="AX22" i="58"/>
  <c r="AX21" i="58"/>
  <c r="AX20" i="58"/>
  <c r="AT24" i="58"/>
  <c r="AT23" i="58"/>
  <c r="AT22" i="58"/>
  <c r="AT21" i="58"/>
  <c r="AT20" i="58"/>
  <c r="AP24" i="58"/>
  <c r="AP23" i="58"/>
  <c r="AP22" i="58"/>
  <c r="AP21" i="58"/>
  <c r="AP20" i="58"/>
  <c r="AL24" i="58"/>
  <c r="AL23" i="58"/>
  <c r="AL22" i="58"/>
  <c r="AL21" i="58"/>
  <c r="AL20" i="58"/>
  <c r="AH24" i="58"/>
  <c r="AH23" i="58"/>
  <c r="AH22" i="58"/>
  <c r="AH21" i="58"/>
  <c r="AH20" i="58"/>
  <c r="AD24" i="58"/>
  <c r="AD23" i="58"/>
  <c r="AD22" i="58"/>
  <c r="AD21" i="58"/>
  <c r="AD20" i="58"/>
  <c r="Z24" i="58"/>
  <c r="Z23" i="58"/>
  <c r="Z22" i="58"/>
  <c r="Z21" i="58"/>
  <c r="Z20" i="58"/>
  <c r="V24" i="58"/>
  <c r="V23" i="58"/>
  <c r="V22" i="58"/>
  <c r="V21" i="58"/>
  <c r="V20" i="58"/>
  <c r="R24" i="58"/>
  <c r="R23" i="58"/>
  <c r="R22" i="58"/>
  <c r="R21" i="58"/>
  <c r="R20" i="58"/>
  <c r="N24" i="58"/>
  <c r="N23" i="58"/>
  <c r="N22" i="58"/>
  <c r="N21" i="58"/>
  <c r="N20" i="58"/>
  <c r="J24" i="58"/>
  <c r="J22" i="58"/>
  <c r="J21" i="58"/>
  <c r="J20" i="58"/>
  <c r="F22" i="58"/>
  <c r="F21" i="58"/>
  <c r="F20" i="58"/>
  <c r="F23" i="58"/>
  <c r="F24" i="58"/>
  <c r="F17" i="58"/>
  <c r="F16" i="58"/>
  <c r="J17" i="58"/>
  <c r="J16" i="58"/>
  <c r="N17" i="58"/>
  <c r="N16" i="58"/>
  <c r="R17" i="58"/>
  <c r="R16" i="58"/>
  <c r="V17" i="58"/>
  <c r="V16" i="58"/>
  <c r="Z17" i="58"/>
  <c r="Z16" i="58"/>
  <c r="AD17" i="58"/>
  <c r="AD16" i="58"/>
  <c r="AH17" i="58"/>
  <c r="AH16" i="58"/>
  <c r="BB17" i="58"/>
  <c r="BB16" i="58"/>
  <c r="AX17" i="58"/>
  <c r="AX16" i="58"/>
  <c r="AT17" i="58"/>
  <c r="AT16" i="58"/>
  <c r="AP17" i="58"/>
  <c r="AP16" i="58"/>
  <c r="AL16" i="58"/>
  <c r="AL17" i="58"/>
  <c r="BB13" i="58" l="1"/>
  <c r="BB12" i="58"/>
  <c r="BB10" i="58"/>
  <c r="BB9" i="58"/>
  <c r="AX13" i="58"/>
  <c r="AX12" i="58"/>
  <c r="AX10" i="58"/>
  <c r="AX9" i="58"/>
  <c r="AT13" i="58"/>
  <c r="AT12" i="58"/>
  <c r="AT10" i="58"/>
  <c r="AT9" i="58"/>
  <c r="AP13" i="58"/>
  <c r="AP12" i="58"/>
  <c r="AP10" i="58"/>
  <c r="AP9" i="58"/>
  <c r="AL13" i="58"/>
  <c r="AL12" i="58"/>
  <c r="AL10" i="58"/>
  <c r="AL9" i="58"/>
  <c r="AH13" i="58"/>
  <c r="AH12" i="58"/>
  <c r="AH10" i="58"/>
  <c r="AH9" i="58"/>
  <c r="AD13" i="58"/>
  <c r="AD12" i="58"/>
  <c r="AD10" i="58"/>
  <c r="AD9" i="58"/>
  <c r="Z13" i="58"/>
  <c r="Z12" i="58"/>
  <c r="Z10" i="58"/>
  <c r="Z9" i="58"/>
  <c r="V13" i="58"/>
  <c r="V12" i="58"/>
  <c r="V10" i="58"/>
  <c r="V9" i="58"/>
  <c r="R13" i="58"/>
  <c r="R12" i="58"/>
  <c r="R10" i="58"/>
  <c r="R9" i="58"/>
  <c r="N13" i="58"/>
  <c r="N12" i="58"/>
  <c r="N10" i="58"/>
  <c r="N9" i="58"/>
  <c r="J13" i="58"/>
  <c r="J12" i="58"/>
  <c r="J10" i="58"/>
  <c r="J9" i="58"/>
  <c r="F10" i="58"/>
  <c r="F9" i="58"/>
  <c r="F12" i="58"/>
  <c r="F13" i="58"/>
  <c r="H72" i="23"/>
  <c r="I53" i="23"/>
  <c r="I45" i="23"/>
  <c r="I44" i="23"/>
  <c r="I36" i="23"/>
  <c r="I29" i="23"/>
  <c r="I28" i="23"/>
  <c r="I20" i="23"/>
  <c r="I19" i="23"/>
  <c r="I18" i="23"/>
  <c r="I17" i="23"/>
  <c r="I7" i="23"/>
  <c r="I62" i="23" l="1"/>
  <c r="I63" i="23"/>
  <c r="I61" i="23"/>
  <c r="I72" i="23" l="1"/>
  <c r="D23" i="58" l="1"/>
  <c r="L23" i="58"/>
  <c r="P23" i="58"/>
  <c r="BA23" i="58" l="1"/>
  <c r="AW23" i="58"/>
  <c r="AS23" i="58"/>
  <c r="AZ23" i="58" l="1"/>
  <c r="AZ22" i="58" s="1"/>
  <c r="AR23" i="58"/>
  <c r="AR22" i="58" s="1"/>
  <c r="AV23" i="58"/>
  <c r="AO23" i="58" l="1"/>
  <c r="AK23" i="58"/>
  <c r="AG23" i="58"/>
  <c r="AC23" i="58"/>
  <c r="AN23" i="58" l="1"/>
  <c r="AJ23" i="58"/>
  <c r="AF23" i="58"/>
  <c r="AB23" i="58"/>
  <c r="Y23" i="58" l="1"/>
  <c r="X23" i="58"/>
  <c r="T23" i="58"/>
  <c r="AJ22" i="58" l="1"/>
  <c r="AF22" i="58"/>
  <c r="AB22" i="58"/>
  <c r="X22" i="58"/>
  <c r="T22" i="58"/>
  <c r="U23" i="58"/>
  <c r="Q23" i="58"/>
  <c r="M23" i="58"/>
  <c r="I23" i="58" l="1"/>
  <c r="J23" i="58" s="1"/>
  <c r="AZ24" i="58"/>
  <c r="AV24" i="58"/>
  <c r="AR24" i="58"/>
  <c r="AN24" i="58"/>
  <c r="AJ24" i="58"/>
  <c r="AF24" i="58"/>
  <c r="AB24" i="58"/>
  <c r="X24" i="58"/>
  <c r="T24" i="58"/>
  <c r="E23" i="58"/>
  <c r="BA17" i="58" l="1"/>
  <c r="AW17" i="58"/>
  <c r="AS17" i="58"/>
  <c r="AO17" i="58"/>
  <c r="AK17" i="58"/>
  <c r="AG17" i="58"/>
  <c r="AC17" i="58"/>
  <c r="Y17" i="58"/>
  <c r="U17" i="58"/>
  <c r="Q17" i="58"/>
  <c r="M17" i="58"/>
  <c r="I17" i="58"/>
  <c r="E17" i="58"/>
  <c r="BA11" i="58"/>
  <c r="BA8" i="58"/>
  <c r="AW11" i="58"/>
  <c r="AW8" i="58"/>
  <c r="AS11" i="58"/>
  <c r="AS8" i="58"/>
  <c r="AO11" i="58"/>
  <c r="AO8" i="58"/>
  <c r="AK11" i="58"/>
  <c r="AK8" i="58"/>
  <c r="AG11" i="58"/>
  <c r="AG8" i="58"/>
  <c r="AC11" i="58"/>
  <c r="AC8" i="58"/>
  <c r="Y11" i="58"/>
  <c r="Y8" i="58"/>
  <c r="U11" i="58"/>
  <c r="U8" i="58"/>
  <c r="Q11" i="58"/>
  <c r="Q8" i="58"/>
  <c r="M11" i="58"/>
  <c r="M8" i="58"/>
  <c r="I11" i="58"/>
  <c r="E11" i="58"/>
  <c r="E8" i="58"/>
  <c r="J35" i="38" l="1"/>
  <c r="K35" i="38" s="1"/>
  <c r="J32" i="38"/>
  <c r="J26" i="38"/>
  <c r="BB15" i="38"/>
  <c r="BA15" i="38"/>
  <c r="BB9" i="38"/>
  <c r="BA9" i="38"/>
  <c r="U10" i="38" l="1"/>
  <c r="V10" i="38"/>
  <c r="V15" i="38"/>
  <c r="U15" i="38"/>
  <c r="V14" i="38" l="1"/>
  <c r="K25" i="38"/>
  <c r="J34" i="38"/>
  <c r="J36" i="38" s="1"/>
  <c r="J31" i="38"/>
  <c r="J33" i="38" s="1"/>
  <c r="J25" i="38"/>
  <c r="J24" i="38" s="1"/>
  <c r="J20" i="38"/>
  <c r="J19" i="38"/>
  <c r="J15" i="38"/>
  <c r="J12" i="38"/>
  <c r="J11" i="38"/>
  <c r="J10" i="38"/>
  <c r="I34" i="38"/>
  <c r="I36" i="38" s="1"/>
  <c r="I31" i="38"/>
  <c r="I33" i="38" s="1"/>
  <c r="I25" i="38"/>
  <c r="I27" i="38" s="1"/>
  <c r="I20" i="38"/>
  <c r="I19" i="38"/>
  <c r="I15" i="38"/>
  <c r="I12" i="38"/>
  <c r="I11" i="38"/>
  <c r="I10" i="38"/>
  <c r="K10" i="38" s="1"/>
  <c r="G28" i="38"/>
  <c r="F34" i="38"/>
  <c r="F31" i="38"/>
  <c r="F28" i="38"/>
  <c r="F20" i="38"/>
  <c r="F19" i="38"/>
  <c r="F15" i="38"/>
  <c r="F9" i="38"/>
  <c r="F8" i="38" s="1"/>
  <c r="F13" i="38" s="1"/>
  <c r="E34" i="38"/>
  <c r="E31" i="38"/>
  <c r="E28" i="38"/>
  <c r="E30" i="38" s="1"/>
  <c r="E20" i="38"/>
  <c r="E19" i="38"/>
  <c r="G19" i="38" s="1"/>
  <c r="E15" i="38"/>
  <c r="E14" i="38" s="1"/>
  <c r="E9" i="38"/>
  <c r="G9" i="38" s="1"/>
  <c r="G8" i="38" s="1"/>
  <c r="BC34" i="38"/>
  <c r="BC31" i="38"/>
  <c r="BB34" i="38"/>
  <c r="BB36" i="38" s="1"/>
  <c r="BB31" i="38"/>
  <c r="BB33" i="38" s="1"/>
  <c r="BB28" i="38"/>
  <c r="BB30" i="38" s="1"/>
  <c r="BB20" i="38"/>
  <c r="BB19" i="38"/>
  <c r="BA34" i="38"/>
  <c r="BA36" i="38" s="1"/>
  <c r="BA31" i="38"/>
  <c r="BA28" i="38"/>
  <c r="BA24" i="38" s="1"/>
  <c r="BA20" i="38"/>
  <c r="BA19" i="38"/>
  <c r="BC15" i="38"/>
  <c r="AY34" i="38"/>
  <c r="AY31" i="38"/>
  <c r="AX34" i="38"/>
  <c r="AX36" i="38" s="1"/>
  <c r="AX31" i="38"/>
  <c r="AX33" i="38" s="1"/>
  <c r="AX25" i="38"/>
  <c r="AX27" i="38" s="1"/>
  <c r="AX20" i="38"/>
  <c r="AX19" i="38"/>
  <c r="AX15" i="38"/>
  <c r="AX12" i="38"/>
  <c r="AX10" i="38"/>
  <c r="AX8" i="38" s="1"/>
  <c r="AW34" i="38"/>
  <c r="AW36" i="38" s="1"/>
  <c r="AW31" i="38"/>
  <c r="AW25" i="38"/>
  <c r="AW27" i="38" s="1"/>
  <c r="AW20" i="38"/>
  <c r="AY20" i="38" s="1"/>
  <c r="AW19" i="38"/>
  <c r="AY19" i="38" s="1"/>
  <c r="AW15" i="38"/>
  <c r="AY15" i="38" s="1"/>
  <c r="AW12" i="38"/>
  <c r="AY12" i="38" s="1"/>
  <c r="AW10" i="38"/>
  <c r="AY10" i="38" s="1"/>
  <c r="AU34" i="38"/>
  <c r="AU31" i="38"/>
  <c r="AT34" i="38"/>
  <c r="AT36" i="38" s="1"/>
  <c r="AT31" i="38"/>
  <c r="AT28" i="38"/>
  <c r="AT20" i="38"/>
  <c r="AT21" i="38" s="1"/>
  <c r="AT15" i="38"/>
  <c r="AT14" i="38" s="1"/>
  <c r="AT10" i="38"/>
  <c r="AS34" i="38"/>
  <c r="AS36" i="38" s="1"/>
  <c r="AS31" i="38"/>
  <c r="AS33" i="38" s="1"/>
  <c r="AS28" i="38"/>
  <c r="AS20" i="38"/>
  <c r="AS21" i="38" s="1"/>
  <c r="AS15" i="38"/>
  <c r="AU15" i="38" s="1"/>
  <c r="AU14" i="38" s="1"/>
  <c r="AS21" i="58" s="1"/>
  <c r="AS10" i="38"/>
  <c r="AS8" i="38" s="1"/>
  <c r="AS13" i="38" s="1"/>
  <c r="AQ34" i="38"/>
  <c r="AQ31" i="38"/>
  <c r="AP34" i="38"/>
  <c r="AP36" i="38" s="1"/>
  <c r="AP31" i="38"/>
  <c r="AP33" i="38" s="1"/>
  <c r="AP28" i="38"/>
  <c r="AP30" i="38" s="1"/>
  <c r="AP20" i="38"/>
  <c r="AP19" i="38"/>
  <c r="AP15" i="38"/>
  <c r="AP10" i="38"/>
  <c r="AO34" i="38"/>
  <c r="AO31" i="38"/>
  <c r="AO28" i="38"/>
  <c r="AO20" i="38"/>
  <c r="AO19" i="38"/>
  <c r="AQ19" i="38" s="1"/>
  <c r="AO15" i="38"/>
  <c r="AQ15" i="38" s="1"/>
  <c r="AO10" i="38"/>
  <c r="AM34" i="38"/>
  <c r="AM31" i="38"/>
  <c r="AL34" i="38"/>
  <c r="AL36" i="38" s="1"/>
  <c r="AL31" i="38"/>
  <c r="AL33" i="38" s="1"/>
  <c r="AL28" i="38"/>
  <c r="AL30" i="38" s="1"/>
  <c r="AL20" i="38"/>
  <c r="AL21" i="38" s="1"/>
  <c r="AL15" i="38"/>
  <c r="AL14" i="38" s="1"/>
  <c r="AL12" i="38"/>
  <c r="AL10" i="38"/>
  <c r="AK34" i="38"/>
  <c r="AK36" i="38" s="1"/>
  <c r="AK31" i="38"/>
  <c r="AK33" i="38" s="1"/>
  <c r="AK28" i="38"/>
  <c r="AK30" i="38" s="1"/>
  <c r="AK20" i="38"/>
  <c r="AK21" i="38" s="1"/>
  <c r="AK15" i="38"/>
  <c r="AK14" i="38" s="1"/>
  <c r="AK12" i="38"/>
  <c r="AM12" i="38" s="1"/>
  <c r="AK10" i="38"/>
  <c r="AK8" i="38" s="1"/>
  <c r="AI34" i="38"/>
  <c r="AI31" i="38"/>
  <c r="AH34" i="38"/>
  <c r="AH36" i="38" s="1"/>
  <c r="AH31" i="38"/>
  <c r="AH33" i="38" s="1"/>
  <c r="AH28" i="38"/>
  <c r="AH30" i="38" s="1"/>
  <c r="AH20" i="38"/>
  <c r="AH21" i="38" s="1"/>
  <c r="AH15" i="38"/>
  <c r="AH9" i="38"/>
  <c r="AG34" i="38"/>
  <c r="AG36" i="38" s="1"/>
  <c r="AG31" i="38"/>
  <c r="AG28" i="38"/>
  <c r="AG20" i="38"/>
  <c r="AG21" i="38" s="1"/>
  <c r="AG18" i="38" s="1"/>
  <c r="AG15" i="38"/>
  <c r="AG14" i="38" s="1"/>
  <c r="AG9" i="38"/>
  <c r="AI9" i="38" s="1"/>
  <c r="AI8" i="38" s="1"/>
  <c r="AE34" i="38"/>
  <c r="AE31" i="38"/>
  <c r="AD34" i="38"/>
  <c r="AD36" i="38" s="1"/>
  <c r="AD31" i="38"/>
  <c r="AD28" i="38"/>
  <c r="AD30" i="38" s="1"/>
  <c r="AD20" i="38"/>
  <c r="AD21" i="38" s="1"/>
  <c r="AD18" i="38" s="1"/>
  <c r="AD15" i="38"/>
  <c r="AD14" i="38" s="1"/>
  <c r="AD12" i="38"/>
  <c r="AD10" i="38"/>
  <c r="AD8" i="38" s="1"/>
  <c r="AC34" i="38"/>
  <c r="AC31" i="38"/>
  <c r="AC33" i="38" s="1"/>
  <c r="AC28" i="38"/>
  <c r="AC20" i="38"/>
  <c r="AC21" i="38" s="1"/>
  <c r="AC15" i="38"/>
  <c r="AC14" i="38" s="1"/>
  <c r="AC12" i="38"/>
  <c r="AC10" i="38"/>
  <c r="AC8" i="38" s="1"/>
  <c r="AA34" i="38"/>
  <c r="AA31" i="38"/>
  <c r="Z34" i="38"/>
  <c r="Z31" i="38"/>
  <c r="Z33" i="38" s="1"/>
  <c r="Z28" i="38"/>
  <c r="Z30" i="38" s="1"/>
  <c r="Z20" i="38"/>
  <c r="Z19" i="38"/>
  <c r="Z15" i="38"/>
  <c r="Z10" i="38"/>
  <c r="Y34" i="38"/>
  <c r="Y36" i="38" s="1"/>
  <c r="Y31" i="38"/>
  <c r="Y33" i="38" s="1"/>
  <c r="Y28" i="38"/>
  <c r="Y20" i="38"/>
  <c r="Y19" i="38"/>
  <c r="Y15" i="38"/>
  <c r="Y14" i="38" s="1"/>
  <c r="Y10" i="38"/>
  <c r="AA10" i="38" s="1"/>
  <c r="V34" i="38"/>
  <c r="V36" i="38" s="1"/>
  <c r="V31" i="38"/>
  <c r="V33" i="38" s="1"/>
  <c r="V28" i="38"/>
  <c r="V30" i="38" s="1"/>
  <c r="V20" i="38"/>
  <c r="V19" i="38"/>
  <c r="U34" i="38"/>
  <c r="U36" i="38" s="1"/>
  <c r="U31" i="38"/>
  <c r="U28" i="38"/>
  <c r="U30" i="38" s="1"/>
  <c r="U20" i="38"/>
  <c r="U19" i="38"/>
  <c r="U8" i="38"/>
  <c r="S34" i="38"/>
  <c r="S31" i="38"/>
  <c r="R34" i="38"/>
  <c r="R36" i="38" s="1"/>
  <c r="R31" i="38"/>
  <c r="R33" i="38" s="1"/>
  <c r="R25" i="38"/>
  <c r="R27" i="38" s="1"/>
  <c r="R20" i="38"/>
  <c r="R19" i="38"/>
  <c r="R15" i="38"/>
  <c r="R14" i="38" s="1"/>
  <c r="R12" i="38"/>
  <c r="R10" i="38"/>
  <c r="R8" i="38" s="1"/>
  <c r="Q34" i="38"/>
  <c r="Q36" i="38" s="1"/>
  <c r="Q31" i="38"/>
  <c r="Q33" i="38" s="1"/>
  <c r="Q25" i="38"/>
  <c r="Q20" i="38"/>
  <c r="Q19" i="38"/>
  <c r="Q15" i="38"/>
  <c r="Q12" i="38"/>
  <c r="S12" i="38" s="1"/>
  <c r="Q10" i="38"/>
  <c r="Q8" i="38" s="1"/>
  <c r="O34" i="38"/>
  <c r="O31" i="38"/>
  <c r="N34" i="38"/>
  <c r="N36" i="38" s="1"/>
  <c r="N31" i="38"/>
  <c r="N33" i="38" s="1"/>
  <c r="N28" i="38"/>
  <c r="N30" i="38" s="1"/>
  <c r="N20" i="38"/>
  <c r="N19" i="38"/>
  <c r="O19" i="38" s="1"/>
  <c r="N15" i="38"/>
  <c r="N14" i="38" s="1"/>
  <c r="N12" i="38"/>
  <c r="N10" i="38"/>
  <c r="N8" i="38" s="1"/>
  <c r="N13" i="38" s="1"/>
  <c r="M34" i="38"/>
  <c r="M31" i="38"/>
  <c r="M28" i="38"/>
  <c r="M20" i="38"/>
  <c r="M19" i="38"/>
  <c r="M15" i="38"/>
  <c r="M14" i="38" s="1"/>
  <c r="M12" i="38"/>
  <c r="M10" i="38"/>
  <c r="O10" i="38" s="1"/>
  <c r="BC35" i="38"/>
  <c r="BC32" i="38"/>
  <c r="BA33" i="38"/>
  <c r="BC29" i="38"/>
  <c r="BA30" i="38"/>
  <c r="BB14" i="38"/>
  <c r="BA14" i="38"/>
  <c r="BA8" i="38"/>
  <c r="BA13" i="38" s="1"/>
  <c r="BB8" i="38"/>
  <c r="BB13" i="38" s="1"/>
  <c r="AY35" i="38"/>
  <c r="AY32" i="38"/>
  <c r="AW33" i="38"/>
  <c r="AY26" i="38"/>
  <c r="AX14" i="38"/>
  <c r="AU35" i="38"/>
  <c r="AU32" i="38"/>
  <c r="AT33" i="38"/>
  <c r="AU29" i="38"/>
  <c r="AT30" i="38"/>
  <c r="AU20" i="38"/>
  <c r="AU19" i="38"/>
  <c r="AU12" i="38"/>
  <c r="AQ35" i="38"/>
  <c r="AO36" i="38"/>
  <c r="AQ32" i="38"/>
  <c r="AO33" i="38"/>
  <c r="AQ29" i="38"/>
  <c r="AO30" i="38"/>
  <c r="AQ20" i="38"/>
  <c r="AP14" i="38"/>
  <c r="AQ12" i="38"/>
  <c r="AQ10" i="38"/>
  <c r="AP8" i="38"/>
  <c r="AP13" i="38" s="1"/>
  <c r="AP17" i="38" s="1"/>
  <c r="AO8" i="38"/>
  <c r="AO13" i="38" s="1"/>
  <c r="AM35" i="38"/>
  <c r="AM32" i="38"/>
  <c r="AM29" i="38"/>
  <c r="AM19" i="38"/>
  <c r="AI35" i="38"/>
  <c r="AG33" i="38"/>
  <c r="AI32" i="38"/>
  <c r="AG30" i="38"/>
  <c r="AI29" i="38"/>
  <c r="AG24" i="38"/>
  <c r="AI19" i="38"/>
  <c r="AH14" i="38"/>
  <c r="AI12" i="38"/>
  <c r="AI10" i="38"/>
  <c r="AH8" i="38"/>
  <c r="AH13" i="38" s="1"/>
  <c r="AH17" i="38" s="1"/>
  <c r="AG8" i="38"/>
  <c r="AG13" i="38" s="1"/>
  <c r="AE35" i="38"/>
  <c r="AC36" i="38"/>
  <c r="AE32" i="38"/>
  <c r="AD33" i="38"/>
  <c r="AE29" i="38"/>
  <c r="AE19" i="38"/>
  <c r="AA35" i="38"/>
  <c r="Z36" i="38"/>
  <c r="AA32" i="38"/>
  <c r="AA29" i="38"/>
  <c r="Y24" i="38"/>
  <c r="Y23" i="38" s="1"/>
  <c r="Z14" i="38"/>
  <c r="AA12" i="38"/>
  <c r="Z8" i="38"/>
  <c r="Z13" i="38" s="1"/>
  <c r="Y8" i="38"/>
  <c r="Y13" i="38" s="1"/>
  <c r="W35" i="38"/>
  <c r="W32" i="38"/>
  <c r="U33" i="38"/>
  <c r="W29" i="38"/>
  <c r="U24" i="38"/>
  <c r="U14" i="38"/>
  <c r="S35" i="38"/>
  <c r="S32" i="38"/>
  <c r="Q27" i="38"/>
  <c r="S26" i="38"/>
  <c r="Q24" i="38"/>
  <c r="Q23" i="38" s="1"/>
  <c r="Q14" i="38"/>
  <c r="O35" i="38"/>
  <c r="M36" i="38"/>
  <c r="O32" i="38"/>
  <c r="M33" i="38"/>
  <c r="O29" i="38"/>
  <c r="M30" i="38"/>
  <c r="O12" i="38"/>
  <c r="K32" i="38"/>
  <c r="K26" i="38"/>
  <c r="J14" i="38"/>
  <c r="J8" i="38"/>
  <c r="G35" i="38"/>
  <c r="G32" i="38"/>
  <c r="G29" i="38"/>
  <c r="F30" i="38"/>
  <c r="F24" i="38"/>
  <c r="F23" i="38" s="1"/>
  <c r="F14" i="38"/>
  <c r="AQ14" i="38" l="1"/>
  <c r="AO21" i="58" s="1"/>
  <c r="AK13" i="38"/>
  <c r="AK17" i="38" s="1"/>
  <c r="AY14" i="38"/>
  <c r="AW21" i="58" s="1"/>
  <c r="AO24" i="38"/>
  <c r="AO23" i="38" s="1"/>
  <c r="AO14" i="38"/>
  <c r="I24" i="38"/>
  <c r="I23" i="38" s="1"/>
  <c r="E24" i="38"/>
  <c r="E23" i="38" s="1"/>
  <c r="AI15" i="38"/>
  <c r="AI14" i="38" s="1"/>
  <c r="AM15" i="38"/>
  <c r="AM14" i="38" s="1"/>
  <c r="AK21" i="58" s="1"/>
  <c r="U23" i="38"/>
  <c r="AM20" i="38"/>
  <c r="AH24" i="38"/>
  <c r="AH23" i="38" s="1"/>
  <c r="K8" i="38"/>
  <c r="I20" i="58" s="1"/>
  <c r="I24" i="58" s="1"/>
  <c r="I22" i="58" s="1"/>
  <c r="AK24" i="38"/>
  <c r="AK23" i="38" s="1"/>
  <c r="M24" i="38"/>
  <c r="M23" i="38" s="1"/>
  <c r="AS24" i="38"/>
  <c r="AS23" i="38" s="1"/>
  <c r="S25" i="38"/>
  <c r="S24" i="38" s="1"/>
  <c r="O20" i="38"/>
  <c r="AA24" i="38"/>
  <c r="AA23" i="38" s="1"/>
  <c r="AC24" i="38"/>
  <c r="AC23" i="38" s="1"/>
  <c r="N24" i="38"/>
  <c r="N23" i="38" s="1"/>
  <c r="W19" i="38"/>
  <c r="AI20" i="38"/>
  <c r="Z24" i="38"/>
  <c r="Z23" i="38" s="1"/>
  <c r="V24" i="38"/>
  <c r="V23" i="38" s="1"/>
  <c r="E8" i="38"/>
  <c r="E13" i="38" s="1"/>
  <c r="E17" i="38" s="1"/>
  <c r="AP24" i="38"/>
  <c r="AP23" i="38" s="1"/>
  <c r="S19" i="38"/>
  <c r="AW24" i="38"/>
  <c r="AW23" i="38" s="1"/>
  <c r="S20" i="38"/>
  <c r="AW14" i="38"/>
  <c r="S15" i="38"/>
  <c r="S14" i="38" s="1"/>
  <c r="Q21" i="58" s="1"/>
  <c r="AW8" i="38"/>
  <c r="AW13" i="38" s="1"/>
  <c r="I8" i="38"/>
  <c r="I13" i="38" s="1"/>
  <c r="S10" i="38"/>
  <c r="S8" i="38" s="1"/>
  <c r="Q20" i="58" s="1"/>
  <c r="Q24" i="58" s="1"/>
  <c r="Q22" i="58" s="1"/>
  <c r="G15" i="38"/>
  <c r="G14" i="38" s="1"/>
  <c r="E21" i="58" s="1"/>
  <c r="G20" i="38"/>
  <c r="AO17" i="38"/>
  <c r="J13" i="38"/>
  <c r="J17" i="38" s="1"/>
  <c r="K24" i="38"/>
  <c r="R24" i="38"/>
  <c r="R23" i="38" s="1"/>
  <c r="Q13" i="38"/>
  <c r="Q17" i="38" s="1"/>
  <c r="R13" i="38"/>
  <c r="R17" i="38" s="1"/>
  <c r="K15" i="38"/>
  <c r="K14" i="38" s="1"/>
  <c r="I21" i="58" s="1"/>
  <c r="K19" i="38"/>
  <c r="J23" i="38"/>
  <c r="AA19" i="38"/>
  <c r="AM10" i="38"/>
  <c r="AM8" i="38" s="1"/>
  <c r="AK20" i="58" s="1"/>
  <c r="AK24" i="58" s="1"/>
  <c r="AK22" i="58" s="1"/>
  <c r="K12" i="38"/>
  <c r="Z17" i="38"/>
  <c r="I14" i="38"/>
  <c r="S23" i="38"/>
  <c r="AX13" i="38"/>
  <c r="AX17" i="38" s="1"/>
  <c r="AY27" i="38"/>
  <c r="BC19" i="38"/>
  <c r="G24" i="38"/>
  <c r="G30" i="38"/>
  <c r="AL8" i="38"/>
  <c r="AL13" i="38" s="1"/>
  <c r="AL17" i="38" s="1"/>
  <c r="AL24" i="38"/>
  <c r="AL23" i="38" s="1"/>
  <c r="V21" i="38"/>
  <c r="V18" i="38" s="1"/>
  <c r="AA28" i="38"/>
  <c r="AE10" i="38"/>
  <c r="AE8" i="38" s="1"/>
  <c r="AC20" i="58" s="1"/>
  <c r="AC24" i="58" s="1"/>
  <c r="AC22" i="58" s="1"/>
  <c r="AE15" i="38"/>
  <c r="AE14" i="38" s="1"/>
  <c r="AC21" i="58" s="1"/>
  <c r="I21" i="38"/>
  <c r="I18" i="38" s="1"/>
  <c r="F21" i="38"/>
  <c r="F18" i="38" s="1"/>
  <c r="AD13" i="38"/>
  <c r="AD17" i="38" s="1"/>
  <c r="AD22" i="38" s="1"/>
  <c r="AC30" i="38"/>
  <c r="AE30" i="38" s="1"/>
  <c r="K33" i="38"/>
  <c r="K31" i="38" s="1"/>
  <c r="F17" i="38"/>
  <c r="AI13" i="38"/>
  <c r="AG20" i="58"/>
  <c r="AG24" i="58" s="1"/>
  <c r="AG22" i="58" s="1"/>
  <c r="J21" i="38"/>
  <c r="J18" i="38" s="1"/>
  <c r="AT24" i="38"/>
  <c r="AT23" i="38" s="1"/>
  <c r="G13" i="38"/>
  <c r="E24" i="58"/>
  <c r="E22" i="58" s="1"/>
  <c r="E20" i="58"/>
  <c r="AU10" i="38"/>
  <c r="AU8" i="38" s="1"/>
  <c r="AS20" i="58" s="1"/>
  <c r="AS24" i="58" s="1"/>
  <c r="AS22" i="58" s="1"/>
  <c r="R21" i="38"/>
  <c r="R18" i="38" s="1"/>
  <c r="R22" i="38" s="1"/>
  <c r="AQ30" i="38"/>
  <c r="Z21" i="38"/>
  <c r="Z18" i="38" s="1"/>
  <c r="Z22" i="38" s="1"/>
  <c r="BA23" i="38"/>
  <c r="N17" i="38"/>
  <c r="N21" i="38"/>
  <c r="N18" i="38" s="1"/>
  <c r="N22" i="38" s="1"/>
  <c r="AA15" i="38"/>
  <c r="AA14" i="38" s="1"/>
  <c r="Y21" i="58" s="1"/>
  <c r="AE12" i="38"/>
  <c r="AO21" i="38"/>
  <c r="AP21" i="38"/>
  <c r="AP18" i="38" s="1"/>
  <c r="AP22" i="38" s="1"/>
  <c r="AX21" i="38"/>
  <c r="AX18" i="38" s="1"/>
  <c r="K11" i="38"/>
  <c r="AU28" i="38"/>
  <c r="AW21" i="38"/>
  <c r="Y21" i="38"/>
  <c r="M21" i="38"/>
  <c r="Q21" i="38"/>
  <c r="Q18" i="38" s="1"/>
  <c r="AI28" i="38"/>
  <c r="AI24" i="38" s="1"/>
  <c r="AI23" i="38" s="1"/>
  <c r="AG23" i="38"/>
  <c r="E21" i="38"/>
  <c r="AM30" i="38"/>
  <c r="AI33" i="38"/>
  <c r="S36" i="38"/>
  <c r="S33" i="38"/>
  <c r="S27" i="38"/>
  <c r="K36" i="38"/>
  <c r="K34" i="38" s="1"/>
  <c r="BB17" i="38"/>
  <c r="BA21" i="38"/>
  <c r="BA18" i="38" s="1"/>
  <c r="BB21" i="38"/>
  <c r="BB18" i="38" s="1"/>
  <c r="BB22" i="38" s="1"/>
  <c r="U13" i="38"/>
  <c r="U17" i="38" s="1"/>
  <c r="U21" i="38"/>
  <c r="U18" i="38" s="1"/>
  <c r="W10" i="38"/>
  <c r="W8" i="38" s="1"/>
  <c r="W15" i="38"/>
  <c r="W14" i="38" s="1"/>
  <c r="U21" i="58" s="1"/>
  <c r="G34" i="38"/>
  <c r="BC14" i="38"/>
  <c r="BA21" i="58" s="1"/>
  <c r="BA17" i="38"/>
  <c r="BB24" i="38"/>
  <c r="BB23" i="38" s="1"/>
  <c r="BC30" i="38"/>
  <c r="AY8" i="38"/>
  <c r="AW20" i="58" s="1"/>
  <c r="AW24" i="58" s="1"/>
  <c r="AW22" i="58" s="1"/>
  <c r="AT8" i="38"/>
  <c r="AS14" i="38"/>
  <c r="AS17" i="38" s="1"/>
  <c r="AT18" i="38"/>
  <c r="AL18" i="38"/>
  <c r="AH18" i="38"/>
  <c r="AI21" i="38"/>
  <c r="AG17" i="38"/>
  <c r="AI30" i="38"/>
  <c r="AI36" i="38"/>
  <c r="AE36" i="38"/>
  <c r="AC13" i="38"/>
  <c r="AC17" i="38" s="1"/>
  <c r="AE20" i="38"/>
  <c r="AD24" i="38"/>
  <c r="AD23" i="38" s="1"/>
  <c r="AE33" i="38"/>
  <c r="Y17" i="38"/>
  <c r="AA20" i="38"/>
  <c r="V8" i="38"/>
  <c r="V13" i="38" s="1"/>
  <c r="V17" i="38" s="1"/>
  <c r="W30" i="38"/>
  <c r="W36" i="38"/>
  <c r="W34" i="38" s="1"/>
  <c r="M8" i="38"/>
  <c r="O8" i="38"/>
  <c r="M20" i="58" s="1"/>
  <c r="M24" i="58" s="1"/>
  <c r="M22" i="58" s="1"/>
  <c r="O15" i="38"/>
  <c r="O30" i="38"/>
  <c r="BC33" i="38"/>
  <c r="BC36" i="38"/>
  <c r="BC9" i="38"/>
  <c r="BC8" i="38" s="1"/>
  <c r="BA20" i="58" s="1"/>
  <c r="BA24" i="58" s="1"/>
  <c r="BA22" i="58" s="1"/>
  <c r="BC20" i="38"/>
  <c r="BC28" i="38"/>
  <c r="BC24" i="38" s="1"/>
  <c r="BC23" i="38" s="1"/>
  <c r="AY33" i="38"/>
  <c r="AY36" i="38"/>
  <c r="AX24" i="38"/>
  <c r="AX23" i="38" s="1"/>
  <c r="AY25" i="38"/>
  <c r="AY24" i="38" s="1"/>
  <c r="AY23" i="38" s="1"/>
  <c r="AU33" i="38"/>
  <c r="AU36" i="38"/>
  <c r="AS30" i="38"/>
  <c r="AU30" i="38" s="1"/>
  <c r="AQ8" i="38"/>
  <c r="AO20" i="58" s="1"/>
  <c r="AO24" i="58" s="1"/>
  <c r="AO22" i="58" s="1"/>
  <c r="AQ33" i="38"/>
  <c r="AQ36" i="38"/>
  <c r="AQ28" i="38"/>
  <c r="AQ24" i="38" s="1"/>
  <c r="AQ23" i="38" s="1"/>
  <c r="AM33" i="38"/>
  <c r="AM36" i="38"/>
  <c r="AM28" i="38"/>
  <c r="AC18" i="38"/>
  <c r="AC22" i="38" s="1"/>
  <c r="AE21" i="38"/>
  <c r="AE28" i="38"/>
  <c r="AE24" i="38" s="1"/>
  <c r="AE23" i="38" s="1"/>
  <c r="AA8" i="38"/>
  <c r="Y20" i="58" s="1"/>
  <c r="Y24" i="58" s="1"/>
  <c r="Y22" i="58" s="1"/>
  <c r="AA33" i="38"/>
  <c r="AA36" i="38"/>
  <c r="Y30" i="38"/>
  <c r="AA30" i="38" s="1"/>
  <c r="W33" i="38"/>
  <c r="W31" i="38" s="1"/>
  <c r="W20" i="38"/>
  <c r="W28" i="38"/>
  <c r="O33" i="38"/>
  <c r="O36" i="38"/>
  <c r="O28" i="38"/>
  <c r="O24" i="38" s="1"/>
  <c r="O23" i="38" s="1"/>
  <c r="K20" i="38"/>
  <c r="J27" i="38"/>
  <c r="K27" i="38" s="1"/>
  <c r="G31" i="38"/>
  <c r="AW17" i="38" l="1"/>
  <c r="V22" i="38"/>
  <c r="AU24" i="38"/>
  <c r="AU23" i="38" s="1"/>
  <c r="G17" i="38"/>
  <c r="I19" i="58"/>
  <c r="K13" i="38"/>
  <c r="K17" i="38" s="1"/>
  <c r="AI18" i="38"/>
  <c r="AM24" i="38"/>
  <c r="AM23" i="38" s="1"/>
  <c r="W24" i="38"/>
  <c r="W23" i="38" s="1"/>
  <c r="E19" i="58"/>
  <c r="S13" i="38"/>
  <c r="S17" i="38" s="1"/>
  <c r="Q19" i="58"/>
  <c r="AX22" i="38"/>
  <c r="Q22" i="38"/>
  <c r="I17" i="38"/>
  <c r="I22" i="38" s="1"/>
  <c r="AL22" i="38"/>
  <c r="K21" i="38"/>
  <c r="K18" i="38" s="1"/>
  <c r="K22" i="38" s="1"/>
  <c r="W21" i="38"/>
  <c r="W18" i="38" s="1"/>
  <c r="F22" i="38"/>
  <c r="AI17" i="38"/>
  <c r="AG21" i="58"/>
  <c r="AG19" i="58" s="1"/>
  <c r="AS19" i="58"/>
  <c r="W13" i="38"/>
  <c r="W17" i="38" s="1"/>
  <c r="U20" i="58"/>
  <c r="U24" i="58" s="1"/>
  <c r="U22" i="58" s="1"/>
  <c r="BA19" i="58"/>
  <c r="Y19" i="58"/>
  <c r="AO19" i="58"/>
  <c r="AK19" i="58"/>
  <c r="AW19" i="58"/>
  <c r="AC19" i="58"/>
  <c r="BC21" i="38"/>
  <c r="S21" i="38"/>
  <c r="S18" i="38" s="1"/>
  <c r="S22" i="38" s="1"/>
  <c r="BC18" i="38"/>
  <c r="AH22" i="38"/>
  <c r="AU13" i="38"/>
  <c r="AU17" i="38" s="1"/>
  <c r="AT13" i="38"/>
  <c r="AT17" i="38" s="1"/>
  <c r="AT22" i="38" s="1"/>
  <c r="AY13" i="38"/>
  <c r="AY17" i="38" s="1"/>
  <c r="AA13" i="38"/>
  <c r="AA17" i="38" s="1"/>
  <c r="M13" i="38"/>
  <c r="M17" i="38" s="1"/>
  <c r="O13" i="38"/>
  <c r="AE18" i="38"/>
  <c r="AE13" i="38"/>
  <c r="AE17" i="38" s="1"/>
  <c r="AQ13" i="38"/>
  <c r="AQ17" i="38" s="1"/>
  <c r="AM13" i="38"/>
  <c r="AM17" i="38" s="1"/>
  <c r="K23" i="38"/>
  <c r="G23" i="38"/>
  <c r="BA22" i="38"/>
  <c r="BC13" i="38"/>
  <c r="BC17" i="38" s="1"/>
  <c r="BC22" i="38" s="1"/>
  <c r="U22" i="38"/>
  <c r="AG22" i="38"/>
  <c r="O14" i="38"/>
  <c r="M21" i="58" s="1"/>
  <c r="M19" i="58" s="1"/>
  <c r="AY21" i="38"/>
  <c r="AY18" i="38" s="1"/>
  <c r="AW18" i="38"/>
  <c r="AU21" i="38"/>
  <c r="AU18" i="38" s="1"/>
  <c r="AS18" i="38"/>
  <c r="AS22" i="38" s="1"/>
  <c r="AO18" i="38"/>
  <c r="AQ21" i="38"/>
  <c r="AQ18" i="38" s="1"/>
  <c r="AK18" i="38"/>
  <c r="AM21" i="38"/>
  <c r="AA21" i="38"/>
  <c r="AA18" i="38" s="1"/>
  <c r="Y18" i="38"/>
  <c r="O21" i="38"/>
  <c r="O18" i="38" s="1"/>
  <c r="M18" i="38"/>
  <c r="J22" i="38"/>
  <c r="G21" i="38"/>
  <c r="E18" i="38"/>
  <c r="AI22" i="38" l="1"/>
  <c r="AU22" i="38"/>
  <c r="M22" i="38"/>
  <c r="U19" i="58"/>
  <c r="AQ22" i="38"/>
  <c r="AA22" i="38"/>
  <c r="O17" i="38"/>
  <c r="O22" i="38" s="1"/>
  <c r="AY22" i="38"/>
  <c r="AW22" i="38"/>
  <c r="Y22" i="38"/>
  <c r="W22" i="38"/>
  <c r="AE22" i="38"/>
  <c r="AO22" i="38"/>
  <c r="AK22" i="38"/>
  <c r="E22" i="38"/>
  <c r="G18" i="38"/>
  <c r="AM18" i="38"/>
  <c r="AM22" i="38" l="1"/>
  <c r="G22" i="38"/>
  <c r="AV22" i="58" l="1"/>
  <c r="AN22" i="58"/>
  <c r="P22" i="58"/>
  <c r="L22" i="58"/>
  <c r="H22" i="58"/>
  <c r="D22" i="58"/>
  <c r="AZ19" i="58"/>
  <c r="AV19" i="58"/>
  <c r="AR19" i="58"/>
  <c r="AN19" i="58"/>
  <c r="AJ19" i="58"/>
  <c r="AF19" i="58"/>
  <c r="AB19" i="58"/>
  <c r="X19" i="58"/>
  <c r="T19" i="58"/>
  <c r="P19" i="58"/>
  <c r="L19" i="58"/>
  <c r="H19" i="58"/>
  <c r="D19" i="58"/>
  <c r="H17" i="58"/>
  <c r="AZ15" i="58"/>
  <c r="AV15" i="58"/>
  <c r="AR15" i="58"/>
  <c r="AN15" i="58"/>
  <c r="AJ15" i="58"/>
  <c r="AF15" i="58"/>
  <c r="AB15" i="58"/>
  <c r="X15" i="58"/>
  <c r="T15" i="58"/>
  <c r="P15" i="58"/>
  <c r="L15" i="58"/>
  <c r="H15" i="58"/>
  <c r="D15" i="58"/>
  <c r="AZ11" i="58"/>
  <c r="AV11" i="58"/>
  <c r="AR11" i="58"/>
  <c r="AN11" i="58"/>
  <c r="AJ11" i="58"/>
  <c r="AF11" i="58"/>
  <c r="AB11" i="58"/>
  <c r="X11" i="58"/>
  <c r="T11" i="58"/>
  <c r="P11" i="58"/>
  <c r="L11" i="58"/>
  <c r="H11" i="58"/>
  <c r="D11" i="58"/>
  <c r="AZ8" i="58"/>
  <c r="AV8" i="58"/>
  <c r="AR8" i="58"/>
  <c r="AN8" i="58"/>
  <c r="AJ8" i="58"/>
  <c r="AF8" i="58"/>
  <c r="AB8" i="58"/>
  <c r="X8" i="58"/>
  <c r="T8" i="58"/>
  <c r="P8" i="58"/>
  <c r="L8" i="58"/>
  <c r="H8" i="58"/>
  <c r="D8" i="58"/>
  <c r="B6" i="58"/>
  <c r="C6" i="58" s="1"/>
  <c r="D6" i="58" s="1"/>
  <c r="E6" i="58" s="1"/>
  <c r="F6" i="58" l="1"/>
  <c r="G6" i="58" s="1"/>
  <c r="H6" i="58" s="1"/>
  <c r="I6" i="58" s="1"/>
  <c r="J6" i="58" s="1"/>
  <c r="K6" i="58" s="1"/>
  <c r="L6" i="58" s="1"/>
  <c r="M6" i="58" s="1"/>
  <c r="N6" i="58" s="1"/>
  <c r="O6" i="58" s="1"/>
  <c r="P6" i="58" s="1"/>
  <c r="Q6" i="58" s="1"/>
  <c r="R6" i="58" s="1"/>
  <c r="S6" i="58" s="1"/>
  <c r="T6" i="58" s="1"/>
  <c r="U6" i="58" s="1"/>
  <c r="V6" i="58" l="1"/>
  <c r="W6" i="58" s="1"/>
  <c r="X6" i="58" s="1"/>
  <c r="Y6" i="58" s="1"/>
  <c r="Z6" i="58" l="1"/>
  <c r="AA6" i="58" s="1"/>
  <c r="AB6" i="58" s="1"/>
  <c r="AC6" i="58" s="1"/>
  <c r="AD6" i="58" l="1"/>
  <c r="AE6" i="58" s="1"/>
  <c r="AF6" i="58" s="1"/>
  <c r="AG6" i="58" s="1"/>
  <c r="AH6" i="58" l="1"/>
  <c r="AI6" i="58" s="1"/>
  <c r="AJ6" i="58" s="1"/>
  <c r="AK6" i="58" s="1"/>
  <c r="AO6" i="58" s="1"/>
  <c r="AP6" i="58" s="1"/>
  <c r="AQ6" i="58" s="1"/>
  <c r="AR6" i="58" s="1"/>
  <c r="AS6" i="58" s="1"/>
  <c r="AT6" i="58" s="1"/>
  <c r="AU6" i="58" s="1"/>
  <c r="AV6" i="58" s="1"/>
  <c r="AW6" i="58" s="1"/>
  <c r="AX6" i="58" s="1"/>
  <c r="AY6" i="58" s="1"/>
  <c r="AZ6" i="58" s="1"/>
  <c r="BA6" i="58" s="1"/>
  <c r="BB6" i="58" s="1"/>
  <c r="BC6" i="58" s="1"/>
  <c r="E72" i="23" l="1"/>
  <c r="E42" i="23"/>
  <c r="E41" i="23"/>
  <c r="E40" i="23"/>
  <c r="E39" i="23"/>
  <c r="H4" i="38" l="1"/>
  <c r="L4" i="38" s="1"/>
  <c r="P4" i="38" s="1"/>
  <c r="T4" i="38" s="1"/>
  <c r="X4" i="38" s="1"/>
  <c r="AB4" i="38" s="1"/>
  <c r="AF4" i="38" s="1"/>
  <c r="AJ4" i="38" s="1"/>
  <c r="AN4" i="38" s="1"/>
  <c r="AR4" i="38" s="1"/>
  <c r="AV4" i="38" s="1"/>
  <c r="AZ4" i="38" s="1"/>
  <c r="AR34" i="38" l="1"/>
  <c r="AR31" i="38"/>
  <c r="AR28" i="38"/>
  <c r="AR24" i="38" l="1"/>
  <c r="AR23" i="38" s="1"/>
  <c r="AV25" i="38" l="1"/>
  <c r="P25" i="38"/>
  <c r="H25" i="38"/>
  <c r="D28" i="38"/>
  <c r="D8" i="38"/>
  <c r="B7" i="38"/>
  <c r="C7" i="38" s="1"/>
  <c r="D7" i="38" s="1"/>
  <c r="E7" i="38" s="1"/>
  <c r="F7" i="38" s="1"/>
  <c r="G7" i="38" s="1"/>
  <c r="H7" i="38" s="1"/>
  <c r="I7" i="38" s="1"/>
  <c r="J7" i="38" s="1"/>
  <c r="K7" i="38" s="1"/>
  <c r="L7" i="38" s="1"/>
  <c r="M7" i="38" s="1"/>
  <c r="N7" i="38" s="1"/>
  <c r="O7" i="38" s="1"/>
  <c r="P7" i="38" s="1"/>
  <c r="Q7" i="38" s="1"/>
  <c r="R7" i="38" s="1"/>
  <c r="S7" i="38" s="1"/>
  <c r="T7" i="38" s="1"/>
  <c r="U7" i="38" s="1"/>
  <c r="V7" i="38" s="1"/>
  <c r="W7" i="38" s="1"/>
  <c r="X7" i="38" s="1"/>
  <c r="Y7" i="38" s="1"/>
  <c r="Z7" i="38" s="1"/>
  <c r="AA7" i="38" s="1"/>
  <c r="AB7" i="38" s="1"/>
  <c r="AC7" i="38" s="1"/>
  <c r="AD7" i="38" s="1"/>
  <c r="AE7" i="38" s="1"/>
  <c r="AF7" i="38" s="1"/>
  <c r="AG7" i="38" s="1"/>
  <c r="AH7" i="38" s="1"/>
  <c r="AI7" i="38" s="1"/>
  <c r="AJ7" i="38" s="1"/>
  <c r="AK7" i="38" s="1"/>
  <c r="AL7" i="38" s="1"/>
  <c r="AM7" i="38" s="1"/>
  <c r="AN7" i="38" s="1"/>
  <c r="AO7" i="38" s="1"/>
  <c r="AP7" i="38" s="1"/>
  <c r="AQ7" i="38" s="1"/>
  <c r="AR7" i="38" s="1"/>
  <c r="AS7" i="38" s="1"/>
  <c r="AT7" i="38" s="1"/>
  <c r="AU7" i="38" s="1"/>
  <c r="AV7" i="38" s="1"/>
  <c r="AW7" i="38" s="1"/>
  <c r="AX7" i="38" s="1"/>
  <c r="AY7" i="38" s="1"/>
  <c r="AZ7" i="38" s="1"/>
  <c r="BA7" i="38" s="1"/>
  <c r="BB7" i="38" s="1"/>
  <c r="BC7" i="38" s="1"/>
  <c r="AZ34" i="38"/>
  <c r="AZ31" i="38"/>
  <c r="AZ28" i="38"/>
  <c r="AZ18" i="38"/>
  <c r="AZ14" i="38"/>
  <c r="AZ8" i="38"/>
  <c r="AV34" i="38"/>
  <c r="AV31" i="38"/>
  <c r="AV18" i="38"/>
  <c r="AV14" i="38"/>
  <c r="AV8" i="38"/>
  <c r="AR18" i="38"/>
  <c r="AR14" i="38"/>
  <c r="AR8" i="38"/>
  <c r="AN34" i="38"/>
  <c r="AN31" i="38"/>
  <c r="AN28" i="38"/>
  <c r="AN18" i="38"/>
  <c r="AN14" i="38"/>
  <c r="AN8" i="38"/>
  <c r="AJ34" i="38"/>
  <c r="AJ31" i="38"/>
  <c r="AJ28" i="38"/>
  <c r="AJ18" i="38"/>
  <c r="AJ14" i="38"/>
  <c r="AJ8" i="38"/>
  <c r="AF34" i="38"/>
  <c r="AF31" i="38"/>
  <c r="AF28" i="38"/>
  <c r="AF18" i="38"/>
  <c r="AF14" i="38"/>
  <c r="AF8" i="38"/>
  <c r="AB34" i="38"/>
  <c r="AB31" i="38"/>
  <c r="AB28" i="38"/>
  <c r="AB18" i="38"/>
  <c r="AB14" i="38"/>
  <c r="AB8" i="38"/>
  <c r="X34" i="38"/>
  <c r="X31" i="38"/>
  <c r="X28" i="38"/>
  <c r="X18" i="38"/>
  <c r="X14" i="38"/>
  <c r="X8" i="38"/>
  <c r="T34" i="38"/>
  <c r="T31" i="38"/>
  <c r="T28" i="38"/>
  <c r="T18" i="38"/>
  <c r="T14" i="38"/>
  <c r="T8" i="38"/>
  <c r="P34" i="38"/>
  <c r="P31" i="38"/>
  <c r="P18" i="38"/>
  <c r="P14" i="38"/>
  <c r="P8" i="38"/>
  <c r="L34" i="38"/>
  <c r="L31" i="38"/>
  <c r="L28" i="38"/>
  <c r="L18" i="38"/>
  <c r="L14" i="38"/>
  <c r="L8" i="38"/>
  <c r="H34" i="38"/>
  <c r="D34" i="38"/>
  <c r="H31" i="38"/>
  <c r="D31" i="38"/>
  <c r="H18" i="38"/>
  <c r="D18" i="38"/>
  <c r="H14" i="38"/>
  <c r="D14" i="38"/>
  <c r="H8" i="38"/>
  <c r="C85" i="23"/>
  <c r="C77" i="23"/>
  <c r="C5" i="23"/>
  <c r="AJ24" i="38" l="1"/>
  <c r="AN24" i="38"/>
  <c r="T24" i="38"/>
  <c r="AB24" i="38"/>
  <c r="AB23" i="38" s="1"/>
  <c r="AZ24" i="38"/>
  <c r="AZ23" i="38" s="1"/>
  <c r="AF24" i="38"/>
  <c r="L24" i="38"/>
  <c r="L23" i="38" s="1"/>
  <c r="X24" i="38"/>
  <c r="D13" i="38"/>
  <c r="D17" i="38" s="1"/>
  <c r="D22" i="38" s="1"/>
  <c r="AV24" i="38"/>
  <c r="AV23" i="38" s="1"/>
  <c r="H24" i="38"/>
  <c r="H23" i="38" s="1"/>
  <c r="H13" i="38"/>
  <c r="L13" i="38"/>
  <c r="AB13" i="38"/>
  <c r="AF13" i="38"/>
  <c r="AF17" i="38" s="1"/>
  <c r="AF22" i="38" s="1"/>
  <c r="AJ13" i="38"/>
  <c r="AN13" i="38"/>
  <c r="AR13" i="38"/>
  <c r="AV13" i="38"/>
  <c r="P13" i="38"/>
  <c r="T13" i="38"/>
  <c r="X13" i="38"/>
  <c r="AZ13" i="38"/>
  <c r="P24" i="38"/>
  <c r="P23" i="38" s="1"/>
  <c r="D24" i="38"/>
  <c r="D23" i="38" s="1"/>
  <c r="AF23" i="38"/>
  <c r="AN23" i="38"/>
  <c r="AJ23" i="38"/>
  <c r="X23" i="38"/>
  <c r="T23" i="38"/>
  <c r="AV17" i="38" l="1"/>
  <c r="AV22" i="38" s="1"/>
  <c r="AN17" i="38"/>
  <c r="AN22" i="38" s="1"/>
  <c r="AR17" i="38"/>
  <c r="AR22" i="38" s="1"/>
  <c r="L17" i="38"/>
  <c r="L22" i="38" s="1"/>
  <c r="X17" i="38"/>
  <c r="X22" i="38" s="1"/>
  <c r="T17" i="38"/>
  <c r="T22" i="38" s="1"/>
  <c r="AJ17" i="38"/>
  <c r="AJ22" i="38" s="1"/>
  <c r="AB17" i="38"/>
  <c r="AB22" i="38" s="1"/>
  <c r="H17" i="38"/>
  <c r="H22" i="38" s="1"/>
  <c r="AZ17" i="38"/>
  <c r="AZ22" i="38" s="1"/>
  <c r="P17" i="38"/>
  <c r="P22" i="38" s="1"/>
</calcChain>
</file>

<file path=xl/comments1.xml><?xml version="1.0" encoding="utf-8"?>
<comments xmlns="http://schemas.openxmlformats.org/spreadsheetml/2006/main">
  <authors>
    <author>kzs001</author>
  </authors>
  <commentList>
    <comment ref="B15" authorId="0">
      <text>
        <r>
          <rPr>
            <b/>
            <sz val="9"/>
            <color indexed="81"/>
            <rFont val="Tahoma"/>
            <family val="2"/>
            <charset val="204"/>
          </rPr>
          <t>kzs001:</t>
        </r>
        <r>
          <rPr>
            <sz val="9"/>
            <color indexed="81"/>
            <rFont val="Tahoma"/>
            <family val="2"/>
            <charset val="204"/>
          </rPr>
          <t xml:space="preserve">
определяется как отношение количества аварий на централизованных системах водоснабжения к протяженности сетей и определяется в единицах на 1 км сети</t>
        </r>
      </text>
    </comment>
  </commentList>
</comments>
</file>

<file path=xl/sharedStrings.xml><?xml version="1.0" encoding="utf-8"?>
<sst xmlns="http://schemas.openxmlformats.org/spreadsheetml/2006/main" count="617" uniqueCount="229">
  <si>
    <t>прочим потребителям</t>
  </si>
  <si>
    <t>Срок реализации мероприятия, лет</t>
  </si>
  <si>
    <t>Наименование показателя</t>
  </si>
  <si>
    <t>тыс. руб.</t>
  </si>
  <si>
    <t>%</t>
  </si>
  <si>
    <t>1.</t>
  </si>
  <si>
    <t>2.</t>
  </si>
  <si>
    <t>3.</t>
  </si>
  <si>
    <t>4.</t>
  </si>
  <si>
    <t>5.</t>
  </si>
  <si>
    <t>6.</t>
  </si>
  <si>
    <t>Участок Канчалан</t>
  </si>
  <si>
    <t>Участок Угольные Копи</t>
  </si>
  <si>
    <t>Участок Алькатваам</t>
  </si>
  <si>
    <t>Участок Беринговский</t>
  </si>
  <si>
    <t>Участок Мейныпильгыно</t>
  </si>
  <si>
    <t>Участок Хатырка</t>
  </si>
  <si>
    <t>Участок Ваеги</t>
  </si>
  <si>
    <t>Участок Снежное</t>
  </si>
  <si>
    <t>Участок Марково</t>
  </si>
  <si>
    <t>Участок Усть-Белая</t>
  </si>
  <si>
    <t>Участок Новое Чаплино</t>
  </si>
  <si>
    <t>Участок Провидения</t>
  </si>
  <si>
    <t>Участок Сиреники</t>
  </si>
  <si>
    <t>Наименование участков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</si>
  <si>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</si>
  <si>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</si>
  <si>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</si>
  <si>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</si>
  <si>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</si>
  <si>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</si>
  <si>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</si>
  <si>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Показатели качества воды</t>
  </si>
  <si>
    <t>1.1</t>
  </si>
  <si>
    <t>1.2</t>
  </si>
  <si>
    <t>Показатели надежности и бесперебойности водоснабжения</t>
  </si>
  <si>
    <t>2.1</t>
  </si>
  <si>
    <t>ед./км</t>
  </si>
  <si>
    <t>Показатели эффективности использования ресурсов, в том числе уроветь потерь воды</t>
  </si>
  <si>
    <t>* План мероприятий, направленных на улучшение качества питьевой воды, организацией не представлен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</si>
  <si>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</si>
  <si>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7.</t>
  </si>
  <si>
    <t>* План мероприятий по энергосбережению и повышению энергетической эффективности организацией не представлен</t>
  </si>
  <si>
    <t>8.</t>
  </si>
  <si>
    <t>9.</t>
  </si>
  <si>
    <t>10.</t>
  </si>
  <si>
    <t>11.</t>
  </si>
  <si>
    <t>12.</t>
  </si>
  <si>
    <t>13.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</si>
  <si>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</si>
  <si>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</si>
  <si>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ед.</t>
  </si>
  <si>
    <t>общее количество отобранных проб</t>
  </si>
  <si>
    <t>2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</si>
  <si>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</si>
  <si>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2.2</t>
  </si>
  <si>
    <t>показатель надежности и бесперебойности централизованной системы холодного водоснабжения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</si>
  <si>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</si>
  <si>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</si>
  <si>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км</t>
  </si>
  <si>
    <t>доля потерь воды в централизованной системе водоснабжения при транспортировке в общем объеме воды, поданной в водопроводную сеть</t>
  </si>
  <si>
    <t>общий объем воды, поданной в водопроводную сеть</t>
  </si>
  <si>
    <t>объем потерь воды в централизованной системе водоснабжения при ее транспортировке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</si>
  <si>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питьевой воды</t>
  </si>
  <si>
    <t>кВт.ч/куб.м</t>
  </si>
  <si>
    <t>общее количество электрической энергии, потребляемой в технологическом процессе транспортировки питьевой воды</t>
  </si>
  <si>
    <t>общий объем транспортируемой воды</t>
  </si>
  <si>
    <t>I</t>
  </si>
  <si>
    <t>II</t>
  </si>
  <si>
    <t>III</t>
  </si>
  <si>
    <t>Значение показателя</t>
  </si>
  <si>
    <t>тыс.куб.м</t>
  </si>
  <si>
    <t>тыс.кВт.ч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</si>
  <si>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</si>
  <si>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</si>
  <si>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</si>
  <si>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</si>
  <si>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</si>
  <si>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</si>
  <si>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</si>
  <si>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689000, Чукотский автономный округ, г. Анадырь, ул. Рультытегина д. 24</t>
  </si>
  <si>
    <t>ГП ЧАО "Чукоткоммунхоз"</t>
  </si>
  <si>
    <t>план</t>
  </si>
  <si>
    <t>факт</t>
  </si>
  <si>
    <r>
      <t xml:space="preserve">Раздел 3. Перечень мероприятий по ремонту объектов централизованных систем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</si>
  <si>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Мероприятия по ремонту объектов централизованных систе</t>
    </r>
    <r>
      <rPr>
        <b/>
        <sz val="12"/>
        <rFont val="Times New Roman"/>
        <family val="1"/>
        <charset val="204"/>
      </rPr>
      <t>м холодного водоснабжения</t>
    </r>
  </si>
  <si>
    <t>Средства на реализацию мероприятия, тыс.руб.</t>
  </si>
  <si>
    <t>ПЛАН</t>
  </si>
  <si>
    <t>ФАКТ</t>
  </si>
  <si>
    <t>3.2. Мероприятия, направленные на улучшение качества питьевой воды*</t>
  </si>
  <si>
    <t>3.3. Мероприятия по энергосбережению и повышению энергетической эффективности, в том числе по снижению потерь воды при транспортировке *</t>
  </si>
  <si>
    <t>Раздел 4. Объем финансовых потребностей для реализации производственной программы</t>
  </si>
  <si>
    <t xml:space="preserve">Раздел 2. Баланс водоснабжения (питьевая вода (питьевое водоснабжение)) </t>
  </si>
  <si>
    <t>№
п/п</t>
  </si>
  <si>
    <t>Наименование</t>
  </si>
  <si>
    <t>Показатели производственной деятельности</t>
  </si>
  <si>
    <t>год</t>
  </si>
  <si>
    <t>1 полугодие</t>
  </si>
  <si>
    <t>2 полугодие</t>
  </si>
  <si>
    <t>Объем воды из источников водоснабжения:</t>
  </si>
  <si>
    <t>куб.м</t>
  </si>
  <si>
    <t xml:space="preserve"> 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</si>
  <si>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</si>
  <si>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</si>
  <si>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</si>
  <si>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питьевой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</si>
  <si>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</si>
  <si>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</si>
  <si>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</si>
  <si>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</si>
  <si>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</si>
  <si>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Полезный отпуск питьевой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</si>
  <si>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</si>
  <si>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</si>
  <si>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</si>
  <si>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</si>
  <si>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</si>
  <si>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</si>
  <si>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</si>
  <si>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</si>
  <si>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Отпуск питьевой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</si>
  <si>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</si>
  <si>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</si>
  <si>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</si>
  <si>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</si>
  <si>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</si>
  <si>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</si>
  <si>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</si>
  <si>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</si>
  <si>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</si>
  <si>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</si>
  <si>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</si>
  <si>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</si>
  <si>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</si>
  <si>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участок Угольные Копи</t>
  </si>
  <si>
    <t>участок Канчалан</t>
  </si>
  <si>
    <t>участок Алькатваам</t>
  </si>
  <si>
    <t>участок Беринговский</t>
  </si>
  <si>
    <t>участок Мейныпильгыно</t>
  </si>
  <si>
    <t>участок Хатырка</t>
  </si>
  <si>
    <t>участок Ваеги</t>
  </si>
  <si>
    <t>участок Снежное</t>
  </si>
  <si>
    <t>участок Марково</t>
  </si>
  <si>
    <t>участок Усть-Белая</t>
  </si>
  <si>
    <t>участок Новое Чаплино</t>
  </si>
  <si>
    <t>участок Провидения</t>
  </si>
  <si>
    <t>участок Сиреники</t>
  </si>
  <si>
    <t>ОТЧЕТ ОБ ИСПОЛНЕНИИ ПРОИЗВОДСТВЕННОЙ ПРОГРАММЫ</t>
  </si>
  <si>
    <t>в сфере водоснабжения (питьевое водоснабжение) за 2019 год</t>
  </si>
  <si>
    <t>2019 год</t>
  </si>
  <si>
    <t>2020 год</t>
  </si>
  <si>
    <t>2021 год</t>
  </si>
  <si>
    <t>2022 год</t>
  </si>
  <si>
    <t>2023 год</t>
  </si>
  <si>
    <t>1.1.</t>
  </si>
  <si>
    <t>Ремонт сетей ТВС первого контура от котельной № 1 до УТ-15</t>
  </si>
  <si>
    <t>Ремонт сетей холодного водоснабжения под домом по ул. Портовая, 8а</t>
  </si>
  <si>
    <t>Ремонт сетей холодного водоснабжения под домом по ул. Портовая, 24</t>
  </si>
  <si>
    <t>Ремонт сетей холодного водоснабжения</t>
  </si>
  <si>
    <t>1.2.</t>
  </si>
  <si>
    <t>1.3.</t>
  </si>
  <si>
    <t>1.4.</t>
  </si>
  <si>
    <t>1.5.</t>
  </si>
  <si>
    <t>1.6.</t>
  </si>
  <si>
    <t>1.7.</t>
  </si>
  <si>
    <t>2.1.</t>
  </si>
  <si>
    <t>Ремонт сетей ХВС от УТ1 до насосной станции</t>
  </si>
  <si>
    <t>2.2.</t>
  </si>
  <si>
    <t>Ремонт сетей ТВС от УТ25 до УТ25/2</t>
  </si>
  <si>
    <t>2.3.</t>
  </si>
  <si>
    <t>Ремонт сетей ТВС от УТ3 до УТ6</t>
  </si>
  <si>
    <t>2.4.</t>
  </si>
  <si>
    <t>Ремонт сетей ТВС от УТ2 до УТ2/4</t>
  </si>
  <si>
    <t>2.5.</t>
  </si>
  <si>
    <t>2.6.</t>
  </si>
  <si>
    <t>2.7.</t>
  </si>
  <si>
    <t>2.8.</t>
  </si>
  <si>
    <t>3.1.</t>
  </si>
  <si>
    <t>Ремонт сетей ТВС от ТК 50 до ТК 56</t>
  </si>
  <si>
    <t>3.2.</t>
  </si>
  <si>
    <t xml:space="preserve">Ремонт сетей ТВС от ТК 23 до ТК 30 </t>
  </si>
  <si>
    <t>3.3.</t>
  </si>
  <si>
    <t>Ремонт сетей ТВС и ГВС от д. 29 по ул. Шахтная до д. 7 по ул. Ревкома Чукотки</t>
  </si>
  <si>
    <t>3.4.</t>
  </si>
  <si>
    <t>3.5.</t>
  </si>
  <si>
    <t>3.6.</t>
  </si>
  <si>
    <t>3.7.</t>
  </si>
  <si>
    <t>4.1.</t>
  </si>
  <si>
    <t>Ремонт сетей ТВС от СК16 до УТ 13</t>
  </si>
  <si>
    <t>4.2.</t>
  </si>
  <si>
    <t>Ремонт сетей ТВС от УТ 13а до УТ 9а</t>
  </si>
  <si>
    <t>4.3.</t>
  </si>
  <si>
    <t>4.4.</t>
  </si>
  <si>
    <t>4.5.</t>
  </si>
  <si>
    <t>5.1.</t>
  </si>
  <si>
    <t>Ремонт сетей ТВС от ТК44 до ТК66</t>
  </si>
  <si>
    <t>5.2.</t>
  </si>
  <si>
    <t>Устройство ограждения водозабора</t>
  </si>
  <si>
    <t>5.3.</t>
  </si>
  <si>
    <t>5.4.</t>
  </si>
  <si>
    <t>5.5.</t>
  </si>
  <si>
    <t>5.6.</t>
  </si>
  <si>
    <t xml:space="preserve">Ремонт сетей ХВС </t>
  </si>
  <si>
    <t>6.2.</t>
  </si>
  <si>
    <t>6.3.</t>
  </si>
  <si>
    <t>6.4.</t>
  </si>
  <si>
    <t>6.5.</t>
  </si>
  <si>
    <t>Ремонт сетей ТВС от 1УТ12 до 1УТ18</t>
  </si>
  <si>
    <t>Ремонт сетей ТВС от 2УТ19 до 2УТ 22.2</t>
  </si>
  <si>
    <t>7.3.</t>
  </si>
  <si>
    <t>Ремонт сетей ТВС от 3УТ17 до 3УТ 20</t>
  </si>
  <si>
    <t>7.4.</t>
  </si>
  <si>
    <t>Ремонт сетей ТВС от 2УТ12 до 2УТ16</t>
  </si>
  <si>
    <t>7.5.</t>
  </si>
  <si>
    <t>Ремонт сетей ТВС от 1УТ5 до 1УТ10</t>
  </si>
  <si>
    <t>7.6.</t>
  </si>
  <si>
    <t>7.7.</t>
  </si>
  <si>
    <t>7.8.</t>
  </si>
  <si>
    <t>7.9.</t>
  </si>
  <si>
    <t>Отклонение (- не использовано, + перерасход)</t>
  </si>
  <si>
    <t>Причина отклонения</t>
  </si>
  <si>
    <t>№
 п/п</t>
  </si>
  <si>
    <t>Отклонение</t>
  </si>
  <si>
    <t>Раздел 5. Показатели надежности, качества, энергетической эффективности объектов централизованных систем холодного водоснабжения</t>
  </si>
  <si>
    <t>Причины отклонения</t>
  </si>
  <si>
    <t>ветхие сети</t>
  </si>
  <si>
    <t xml:space="preserve">недофинансирование окружным бюджетом затрат, не учтенных при установлении тарифов </t>
  </si>
  <si>
    <t>Пуско-наладочные работы дизельного генератора в кожухе (капоте) мощностью 60 кВт с двигателем ЯМЗ-236 для водозабора с.Ваеги. (дог.№77/19 от 15.04.2019)</t>
  </si>
  <si>
    <t>В связи с передачей части имущества по концессионному соглашению, некорректно определен плановый 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</si>
</sst>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р_._-;\-* #,##0.00_р_._-;_-* &quot;-&quot;??_р_._-;_-@_-"/>
    <numFmt numFmtId="165" formatCode="0.0"/>
    <numFmt numFmtId="166" formatCode="0.000"/>
    <numFmt numFmtId="167" formatCode="#,##0.0"/>
    <numFmt numFmtId="168" formatCode="_-* #,##0\ &quot;р.&quot;_-;\-* #,##0\ &quot;р.&quot;_-;_-* &quot;-&quot;\ &quot;р.&quot;_-;_-@_-"/>
    <numFmt numFmtId="169" formatCode="#,##0\ &quot;d.&quot;;[Red]\-#,##0\ &quot;d.&quot;"/>
    <numFmt numFmtId="170" formatCode="#,##0.00\ &quot;d.&quot;;[Red]\-#,##0.00\ &quot;d.&quot;"/>
    <numFmt numFmtId="171" formatCode="#,##0.00\ &quot;đ.&quot;;[Red]\-#,##0.00\ &quot;đ.&quot;"/>
    <numFmt numFmtId="172" formatCode="_-* #,##0\ _đ_._-;\-* #,##0\ _đ_._-;_-* &quot;-&quot;\ _đ_._-;_-@_-"/>
    <numFmt numFmtId="173" formatCode="_-* #,##0.00\ _đ_._-;\-* #,##0.00\ _đ_._-;_-* &quot;-&quot;??\ _đ_._-;_-@_-"/>
    <numFmt numFmtId="174" formatCode="#,##0\ &quot;р.&quot;;[Red]\-#,##0\ &quot;р.&quot;"/>
    <numFmt numFmtId="175" formatCode="_-* #,##0\ _р_._-;\-* #,##0\ _р_._-;_-* &quot;-&quot;\ _р_._-;_-@_-"/>
    <numFmt numFmtId="176" formatCode="_-* #,##0.00\ _р_._-;\-* #,##0.00\ _р_._-;_-* &quot;-&quot;??\ _р_._-;_-@_-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Courier"/>
      <family val="1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9"/>
      <name val="Tahoma"/>
      <family val="2"/>
      <charset val="204"/>
    </font>
    <font>
      <sz val="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7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9" fontId="17" fillId="0" borderId="0" applyFont="0" applyFill="0" applyBorder="0" applyAlignment="0" applyProtection="0"/>
    <xf numFmtId="0" fontId="6" fillId="0" borderId="0"/>
    <xf numFmtId="168" fontId="21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2" fillId="0" borderId="0"/>
    <xf numFmtId="0" fontId="7" fillId="0" borderId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7" fillId="0" borderId="0"/>
    <xf numFmtId="0" fontId="1" fillId="0" borderId="0"/>
    <xf numFmtId="0" fontId="24" fillId="0" borderId="0" applyNumberFormat="0" applyFill="0" applyBorder="0" applyAlignment="0" applyProtection="0"/>
    <xf numFmtId="0" fontId="25" fillId="0" borderId="48" applyBorder="0">
      <alignment horizontal="center" vertical="center" wrapText="1"/>
    </xf>
    <xf numFmtId="0" fontId="1" fillId="0" borderId="0"/>
    <xf numFmtId="0" fontId="17" fillId="0" borderId="0"/>
    <xf numFmtId="0" fontId="12" fillId="0" borderId="0"/>
    <xf numFmtId="0" fontId="1" fillId="0" borderId="0"/>
    <xf numFmtId="0" fontId="17" fillId="0" borderId="0"/>
    <xf numFmtId="0" fontId="1" fillId="0" borderId="0"/>
    <xf numFmtId="0" fontId="6" fillId="0" borderId="0"/>
  </cellStyleXfs>
  <cellXfs count="380">
    <xf numFmtId="0" fontId="0" fillId="0" borderId="0" xfId="0"/>
    <xf numFmtId="2" fontId="4" fillId="0" borderId="2" xfId="0" applyNumberFormat="1" applyFont="1" applyFill="1" applyBorder="1" applyAlignment="1">
      <alignment horizontal="left" vertical="center" wrapText="1"/>
    </xf>
    <xf numFmtId="2" fontId="4" fillId="0" borderId="3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left" vertical="center" wrapText="1"/>
    </xf>
    <xf numFmtId="0" fontId="10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Border="1" applyAlignment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/>
    <xf numFmtId="0" fontId="4" fillId="0" borderId="1" xfId="1" applyFont="1" applyBorder="1"/>
    <xf numFmtId="0" fontId="4" fillId="0" borderId="0" xfId="1" applyFont="1" applyBorder="1" applyAlignment="1">
      <alignment horizontal="left" wrapText="1"/>
    </xf>
    <xf numFmtId="0" fontId="8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/>
    </xf>
    <xf numFmtId="0" fontId="8" fillId="0" borderId="3" xfId="2" applyFont="1" applyBorder="1" applyAlignment="1">
      <alignment horizontal="justify" vertical="top" wrapText="1"/>
    </xf>
    <xf numFmtId="0" fontId="8" fillId="0" borderId="13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justify" vertical="top" wrapText="1"/>
    </xf>
    <xf numFmtId="49" fontId="8" fillId="0" borderId="13" xfId="2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0" fontId="8" fillId="0" borderId="7" xfId="2" applyFont="1" applyBorder="1" applyAlignment="1">
      <alignment horizontal="justify" vertical="top" wrapText="1"/>
    </xf>
    <xf numFmtId="0" fontId="8" fillId="0" borderId="26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49" fontId="8" fillId="0" borderId="24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horizontal="justify" vertical="top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/>
    </xf>
    <xf numFmtId="166" fontId="4" fillId="0" borderId="18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65" fontId="8" fillId="0" borderId="19" xfId="0" applyNumberFormat="1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justify" vertical="top" wrapText="1"/>
    </xf>
    <xf numFmtId="0" fontId="4" fillId="0" borderId="1" xfId="1" applyFont="1" applyBorder="1" applyAlignment="1">
      <alignment horizontal="left" vertical="center" wrapText="1"/>
    </xf>
    <xf numFmtId="0" fontId="15" fillId="0" borderId="0" xfId="4" applyFont="1"/>
    <xf numFmtId="0" fontId="8" fillId="0" borderId="1" xfId="4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8" fillId="0" borderId="0" xfId="4" applyFont="1"/>
    <xf numFmtId="0" fontId="8" fillId="0" borderId="0" xfId="4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9" fillId="0" borderId="0" xfId="4" applyFont="1"/>
    <xf numFmtId="0" fontId="4" fillId="0" borderId="0" xfId="1" applyFont="1" applyBorder="1" applyAlignment="1">
      <alignment horizontal="left"/>
    </xf>
    <xf numFmtId="0" fontId="9" fillId="0" borderId="0" xfId="4" applyFont="1" applyBorder="1" applyAlignment="1">
      <alignment horizontal="left"/>
    </xf>
    <xf numFmtId="165" fontId="8" fillId="0" borderId="8" xfId="5" applyNumberFormat="1" applyFont="1" applyBorder="1" applyAlignment="1">
      <alignment horizontal="center"/>
    </xf>
    <xf numFmtId="165" fontId="8" fillId="0" borderId="2" xfId="5" applyNumberFormat="1" applyFont="1" applyBorder="1" applyAlignment="1">
      <alignment horizontal="center"/>
    </xf>
    <xf numFmtId="165" fontId="8" fillId="0" borderId="3" xfId="5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1" fontId="4" fillId="0" borderId="39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66" fontId="8" fillId="0" borderId="19" xfId="0" applyNumberFormat="1" applyFont="1" applyBorder="1" applyAlignment="1">
      <alignment horizontal="center" vertical="center" wrapText="1"/>
    </xf>
    <xf numFmtId="165" fontId="4" fillId="0" borderId="39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16" fillId="0" borderId="0" xfId="1" applyFont="1"/>
    <xf numFmtId="0" fontId="20" fillId="0" borderId="0" xfId="1" applyFont="1" applyAlignment="1">
      <alignment vertical="top"/>
    </xf>
    <xf numFmtId="0" fontId="18" fillId="2" borderId="35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19" fillId="0" borderId="1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 wrapText="1"/>
    </xf>
    <xf numFmtId="49" fontId="18" fillId="0" borderId="12" xfId="1" applyNumberFormat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left" vertical="center" wrapText="1" indent="1"/>
    </xf>
    <xf numFmtId="0" fontId="2" fillId="0" borderId="1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 indent="2"/>
    </xf>
    <xf numFmtId="0" fontId="2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/>
    </xf>
    <xf numFmtId="0" fontId="18" fillId="0" borderId="2" xfId="1" applyFont="1" applyBorder="1" applyAlignment="1">
      <alignment vertical="center" wrapText="1"/>
    </xf>
    <xf numFmtId="0" fontId="18" fillId="0" borderId="2" xfId="1" applyFont="1" applyBorder="1" applyAlignment="1">
      <alignment horizontal="left" vertical="center" wrapText="1" indent="1"/>
    </xf>
    <xf numFmtId="0" fontId="2" fillId="0" borderId="8" xfId="1" applyFont="1" applyBorder="1" applyAlignment="1">
      <alignment horizontal="center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0" fontId="19" fillId="0" borderId="12" xfId="1" applyFont="1" applyBorder="1" applyAlignment="1">
      <alignment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49" fontId="18" fillId="0" borderId="26" xfId="1" applyNumberFormat="1" applyFont="1" applyBorder="1" applyAlignment="1">
      <alignment horizontal="center" vertical="center" wrapText="1"/>
    </xf>
    <xf numFmtId="49" fontId="18" fillId="0" borderId="7" xfId="1" applyNumberFormat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left" vertical="center" wrapText="1" indent="1"/>
    </xf>
    <xf numFmtId="49" fontId="18" fillId="0" borderId="2" xfId="1" applyNumberFormat="1" applyFont="1" applyBorder="1" applyAlignment="1">
      <alignment horizontal="center" vertical="center" wrapText="1"/>
    </xf>
    <xf numFmtId="49" fontId="19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19" fillId="0" borderId="8" xfId="1" applyFont="1" applyBorder="1" applyAlignment="1">
      <alignment vertical="center" wrapText="1"/>
    </xf>
    <xf numFmtId="0" fontId="20" fillId="0" borderId="8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left" vertical="center" wrapText="1" indent="1"/>
    </xf>
    <xf numFmtId="0" fontId="18" fillId="0" borderId="2" xfId="1" applyFont="1" applyBorder="1" applyAlignment="1">
      <alignment horizontal="left" vertical="center" wrapText="1" indent="3"/>
    </xf>
    <xf numFmtId="49" fontId="19" fillId="0" borderId="12" xfId="1" applyNumberFormat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left" vertical="center" wrapText="1" indent="1"/>
    </xf>
    <xf numFmtId="49" fontId="18" fillId="0" borderId="13" xfId="1" applyNumberFormat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left" vertical="center" wrapText="1" indent="2"/>
    </xf>
    <xf numFmtId="0" fontId="2" fillId="0" borderId="13" xfId="1" applyFont="1" applyBorder="1" applyAlignment="1">
      <alignment horizontal="center" vertical="center" wrapText="1"/>
    </xf>
    <xf numFmtId="0" fontId="2" fillId="0" borderId="0" xfId="1" applyFont="1"/>
    <xf numFmtId="0" fontId="4" fillId="0" borderId="13" xfId="1" applyFont="1" applyBorder="1" applyAlignment="1">
      <alignment horizontal="center" vertical="center" wrapText="1"/>
    </xf>
    <xf numFmtId="165" fontId="10" fillId="0" borderId="0" xfId="0" applyNumberFormat="1" applyFont="1"/>
    <xf numFmtId="165" fontId="8" fillId="8" borderId="8" xfId="5" applyNumberFormat="1" applyFont="1" applyFill="1" applyBorder="1" applyAlignment="1">
      <alignment horizontal="center"/>
    </xf>
    <xf numFmtId="165" fontId="8" fillId="8" borderId="3" xfId="5" applyNumberFormat="1" applyFont="1" applyFill="1" applyBorder="1" applyAlignment="1">
      <alignment horizontal="center"/>
    </xf>
    <xf numFmtId="0" fontId="4" fillId="0" borderId="13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8" borderId="26" xfId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11" xfId="1" applyNumberFormat="1" applyFont="1" applyBorder="1" applyAlignment="1">
      <alignment horizontal="center" vertical="center" wrapText="1"/>
    </xf>
    <xf numFmtId="16" fontId="4" fillId="0" borderId="2" xfId="1" applyNumberFormat="1" applyFont="1" applyFill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16" fontId="4" fillId="0" borderId="3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11" xfId="1" applyFont="1" applyFill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0" fillId="0" borderId="1" xfId="0" applyFont="1" applyBorder="1"/>
    <xf numFmtId="0" fontId="8" fillId="0" borderId="27" xfId="2" applyFont="1" applyBorder="1" applyAlignment="1">
      <alignment horizontal="justify" vertical="top" wrapText="1"/>
    </xf>
    <xf numFmtId="0" fontId="8" fillId="0" borderId="24" xfId="2" applyFont="1" applyBorder="1" applyAlignment="1">
      <alignment horizontal="justify" vertical="top" wrapText="1"/>
    </xf>
    <xf numFmtId="0" fontId="8" fillId="0" borderId="11" xfId="2" applyFont="1" applyBorder="1" applyAlignment="1">
      <alignment horizontal="justify" vertical="top" wrapText="1"/>
    </xf>
    <xf numFmtId="1" fontId="8" fillId="0" borderId="18" xfId="0" applyNumberFormat="1" applyFont="1" applyBorder="1" applyAlignment="1">
      <alignment horizontal="center" vertical="center" wrapText="1"/>
    </xf>
    <xf numFmtId="1" fontId="8" fillId="0" borderId="29" xfId="0" applyNumberFormat="1" applyFont="1" applyBorder="1" applyAlignment="1">
      <alignment horizontal="center" vertical="center" wrapText="1"/>
    </xf>
    <xf numFmtId="166" fontId="8" fillId="0" borderId="29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165" fontId="8" fillId="0" borderId="29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67" fontId="18" fillId="8" borderId="3" xfId="1" applyNumberFormat="1" applyFont="1" applyFill="1" applyBorder="1" applyAlignment="1">
      <alignment horizontal="center" vertical="center" wrapText="1"/>
    </xf>
    <xf numFmtId="0" fontId="8" fillId="0" borderId="0" xfId="4" applyFont="1"/>
    <xf numFmtId="167" fontId="19" fillId="8" borderId="11" xfId="1" applyNumberFormat="1" applyFont="1" applyFill="1" applyBorder="1" applyAlignment="1">
      <alignment horizontal="center" vertical="center" wrapText="1"/>
    </xf>
    <xf numFmtId="167" fontId="19" fillId="8" borderId="39" xfId="1" applyNumberFormat="1" applyFont="1" applyFill="1" applyBorder="1" applyAlignment="1">
      <alignment horizontal="center" vertical="center" wrapText="1"/>
    </xf>
    <xf numFmtId="167" fontId="19" fillId="8" borderId="23" xfId="1" applyNumberFormat="1" applyFont="1" applyFill="1" applyBorder="1" applyAlignment="1">
      <alignment horizontal="center" vertical="center" wrapText="1"/>
    </xf>
    <xf numFmtId="167" fontId="19" fillId="8" borderId="40" xfId="1" applyNumberFormat="1" applyFont="1" applyFill="1" applyBorder="1" applyAlignment="1">
      <alignment horizontal="center" vertical="center" wrapText="1"/>
    </xf>
    <xf numFmtId="167" fontId="18" fillId="8" borderId="0" xfId="1" applyNumberFormat="1" applyFont="1" applyFill="1" applyBorder="1" applyAlignment="1">
      <alignment horizontal="center" vertical="center" wrapText="1"/>
    </xf>
    <xf numFmtId="167" fontId="18" fillId="8" borderId="2" xfId="1" applyNumberFormat="1" applyFont="1" applyFill="1" applyBorder="1" applyAlignment="1">
      <alignment horizontal="center" vertical="center" wrapText="1"/>
    </xf>
    <xf numFmtId="167" fontId="18" fillId="8" borderId="12" xfId="1" applyNumberFormat="1" applyFont="1" applyFill="1" applyBorder="1" applyAlignment="1">
      <alignment horizontal="center" vertical="center" wrapText="1"/>
    </xf>
    <xf numFmtId="167" fontId="18" fillId="8" borderId="17" xfId="1" applyNumberFormat="1" applyFont="1" applyFill="1" applyBorder="1" applyAlignment="1">
      <alignment horizontal="center" vertical="center" wrapText="1"/>
    </xf>
    <xf numFmtId="167" fontId="19" fillId="8" borderId="2" xfId="1" applyNumberFormat="1" applyFont="1" applyFill="1" applyBorder="1" applyAlignment="1">
      <alignment horizontal="center" vertical="center" wrapText="1"/>
    </xf>
    <xf numFmtId="167" fontId="19" fillId="8" borderId="17" xfId="1" applyNumberFormat="1" applyFont="1" applyFill="1" applyBorder="1" applyAlignment="1">
      <alignment horizontal="center" vertical="center" wrapText="1"/>
    </xf>
    <xf numFmtId="167" fontId="18" fillId="8" borderId="5" xfId="1" applyNumberFormat="1" applyFont="1" applyFill="1" applyBorder="1" applyAlignment="1">
      <alignment horizontal="center" vertical="center" wrapText="1"/>
    </xf>
    <xf numFmtId="167" fontId="18" fillId="8" borderId="6" xfId="1" applyNumberFormat="1" applyFont="1" applyFill="1" applyBorder="1" applyAlignment="1">
      <alignment horizontal="center" vertical="center" wrapText="1"/>
    </xf>
    <xf numFmtId="167" fontId="18" fillId="8" borderId="8" xfId="1" applyNumberFormat="1" applyFont="1" applyFill="1" applyBorder="1" applyAlignment="1">
      <alignment horizontal="center" vertical="center" wrapText="1"/>
    </xf>
    <xf numFmtId="167" fontId="19" fillId="8" borderId="12" xfId="1" applyNumberFormat="1" applyFont="1" applyFill="1" applyBorder="1" applyAlignment="1">
      <alignment horizontal="center" vertical="center" wrapText="1"/>
    </xf>
    <xf numFmtId="167" fontId="19" fillId="8" borderId="41" xfId="1" applyNumberFormat="1" applyFont="1" applyFill="1" applyBorder="1" applyAlignment="1">
      <alignment horizontal="center" vertical="center" wrapText="1"/>
    </xf>
    <xf numFmtId="167" fontId="19" fillId="8" borderId="42" xfId="1" applyNumberFormat="1" applyFont="1" applyFill="1" applyBorder="1" applyAlignment="1">
      <alignment horizontal="center" vertical="center" wrapText="1"/>
    </xf>
    <xf numFmtId="167" fontId="19" fillId="8" borderId="8" xfId="1" applyNumberFormat="1" applyFont="1" applyFill="1" applyBorder="1" applyAlignment="1">
      <alignment horizontal="center" vertical="center" wrapText="1"/>
    </xf>
    <xf numFmtId="167" fontId="19" fillId="8" borderId="14" xfId="1" applyNumberFormat="1" applyFont="1" applyFill="1" applyBorder="1" applyAlignment="1">
      <alignment horizontal="center" vertical="center" wrapText="1"/>
    </xf>
    <xf numFmtId="167" fontId="19" fillId="8" borderId="9" xfId="1" applyNumberFormat="1" applyFont="1" applyFill="1" applyBorder="1" applyAlignment="1">
      <alignment horizontal="center" vertical="center" wrapText="1"/>
    </xf>
    <xf numFmtId="167" fontId="19" fillId="8" borderId="36" xfId="1" applyNumberFormat="1" applyFont="1" applyFill="1" applyBorder="1" applyAlignment="1">
      <alignment horizontal="center" vertical="center" wrapText="1"/>
    </xf>
    <xf numFmtId="167" fontId="18" fillId="8" borderId="13" xfId="1" applyNumberFormat="1" applyFont="1" applyFill="1" applyBorder="1" applyAlignment="1">
      <alignment horizontal="center" vertical="center" wrapText="1"/>
    </xf>
    <xf numFmtId="167" fontId="18" fillId="8" borderId="31" xfId="1" applyNumberFormat="1" applyFont="1" applyFill="1" applyBorder="1" applyAlignment="1">
      <alignment horizontal="center" vertical="center" wrapText="1"/>
    </xf>
    <xf numFmtId="167" fontId="19" fillId="8" borderId="16" xfId="1" applyNumberFormat="1" applyFont="1" applyFill="1" applyBorder="1" applyAlignment="1">
      <alignment horizontal="center" vertical="center" wrapText="1"/>
    </xf>
    <xf numFmtId="167" fontId="18" fillId="8" borderId="22" xfId="1" applyNumberFormat="1" applyFont="1" applyFill="1" applyBorder="1" applyAlignment="1">
      <alignment horizontal="center" vertical="center" wrapText="1"/>
    </xf>
    <xf numFmtId="167" fontId="18" fillId="8" borderId="18" xfId="1" applyNumberFormat="1" applyFont="1" applyFill="1" applyBorder="1" applyAlignment="1">
      <alignment horizontal="center" vertical="center" wrapText="1"/>
    </xf>
    <xf numFmtId="167" fontId="19" fillId="8" borderId="18" xfId="1" applyNumberFormat="1" applyFont="1" applyFill="1" applyBorder="1" applyAlignment="1">
      <alignment horizontal="center" vertical="center" wrapText="1"/>
    </xf>
    <xf numFmtId="167" fontId="19" fillId="8" borderId="37" xfId="1" applyNumberFormat="1" applyFont="1" applyFill="1" applyBorder="1" applyAlignment="1">
      <alignment horizontal="center" vertical="center" wrapText="1"/>
    </xf>
    <xf numFmtId="167" fontId="18" fillId="8" borderId="20" xfId="1" applyNumberFormat="1" applyFont="1" applyFill="1" applyBorder="1" applyAlignment="1">
      <alignment horizontal="center" vertical="center" wrapText="1"/>
    </xf>
    <xf numFmtId="167" fontId="19" fillId="8" borderId="5" xfId="1" applyNumberFormat="1" applyFont="1" applyFill="1" applyBorder="1" applyAlignment="1">
      <alignment horizontal="center" vertical="center" wrapText="1"/>
    </xf>
    <xf numFmtId="167" fontId="18" fillId="8" borderId="42" xfId="1" applyNumberFormat="1" applyFont="1" applyFill="1" applyBorder="1" applyAlignment="1">
      <alignment horizontal="center" vertical="center" wrapText="1"/>
    </xf>
    <xf numFmtId="167" fontId="19" fillId="8" borderId="6" xfId="1" applyNumberFormat="1" applyFont="1" applyFill="1" applyBorder="1" applyAlignment="1">
      <alignment horizontal="center" vertical="center" wrapText="1"/>
    </xf>
    <xf numFmtId="167" fontId="19" fillId="8" borderId="0" xfId="1" applyNumberFormat="1" applyFont="1" applyFill="1" applyBorder="1" applyAlignment="1">
      <alignment horizontal="center" vertical="center" wrapText="1"/>
    </xf>
    <xf numFmtId="167" fontId="19" fillId="8" borderId="22" xfId="1" applyNumberFormat="1" applyFont="1" applyFill="1" applyBorder="1" applyAlignment="1">
      <alignment horizontal="center" vertical="center" wrapText="1"/>
    </xf>
    <xf numFmtId="167" fontId="18" fillId="8" borderId="46" xfId="1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Alignment="1">
      <alignment horizontal="center"/>
    </xf>
    <xf numFmtId="0" fontId="8" fillId="0" borderId="0" xfId="48" applyFont="1"/>
    <xf numFmtId="1" fontId="4" fillId="0" borderId="37" xfId="0" applyNumberFormat="1" applyFont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4" fillId="0" borderId="28" xfId="1" applyFont="1" applyBorder="1" applyAlignment="1">
      <alignment horizontal="center" vertical="center" wrapText="1"/>
    </xf>
    <xf numFmtId="3" fontId="4" fillId="0" borderId="30" xfId="1" applyNumberFormat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30" xfId="1" applyFont="1" applyBorder="1" applyAlignment="1">
      <alignment horizontal="center" vertical="center" wrapText="1"/>
    </xf>
    <xf numFmtId="165" fontId="4" fillId="0" borderId="15" xfId="1" applyNumberFormat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left" vertical="center" wrapText="1"/>
    </xf>
    <xf numFmtId="0" fontId="4" fillId="8" borderId="7" xfId="1" applyFont="1" applyFill="1" applyBorder="1" applyAlignment="1">
      <alignment horizontal="center" vertical="center" wrapText="1"/>
    </xf>
    <xf numFmtId="0" fontId="4" fillId="0" borderId="38" xfId="1" applyFont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165" fontId="4" fillId="0" borderId="7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5" fontId="4" fillId="0" borderId="26" xfId="1" applyNumberFormat="1" applyFont="1" applyBorder="1" applyAlignment="1">
      <alignment horizontal="center" vertical="center" wrapText="1"/>
    </xf>
    <xf numFmtId="165" fontId="4" fillId="0" borderId="24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26" xfId="1" applyFont="1" applyBorder="1" applyAlignment="1">
      <alignment horizontal="center" vertical="center" wrapText="1"/>
    </xf>
    <xf numFmtId="165" fontId="4" fillId="0" borderId="27" xfId="1" applyNumberFormat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5" fontId="4" fillId="0" borderId="38" xfId="1" applyNumberFormat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30" xfId="1" applyFont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5" fontId="4" fillId="0" borderId="7" xfId="1" applyNumberFormat="1" applyFont="1" applyFill="1" applyBorder="1" applyAlignment="1">
      <alignment horizontal="center" vertical="center" wrapText="1"/>
    </xf>
    <xf numFmtId="165" fontId="4" fillId="0" borderId="15" xfId="1" applyNumberFormat="1" applyFont="1" applyFill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center" vertical="center" wrapText="1"/>
    </xf>
    <xf numFmtId="49" fontId="18" fillId="0" borderId="12" xfId="1" applyNumberFormat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left" vertical="center" wrapText="1" indent="2"/>
    </xf>
    <xf numFmtId="0" fontId="2" fillId="0" borderId="12" xfId="1" applyFont="1" applyFill="1" applyBorder="1" applyAlignment="1">
      <alignment horizontal="center" vertical="center" wrapText="1"/>
    </xf>
    <xf numFmtId="167" fontId="18" fillId="0" borderId="12" xfId="1" applyNumberFormat="1" applyFont="1" applyFill="1" applyBorder="1" applyAlignment="1">
      <alignment horizontal="center" vertical="center" wrapText="1"/>
    </xf>
    <xf numFmtId="167" fontId="18" fillId="0" borderId="18" xfId="1" applyNumberFormat="1" applyFont="1" applyFill="1" applyBorder="1" applyAlignment="1">
      <alignment horizontal="center" vertical="center" wrapText="1"/>
    </xf>
    <xf numFmtId="167" fontId="18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18" fillId="0" borderId="2" xfId="1" applyFont="1" applyFill="1" applyBorder="1" applyAlignment="1">
      <alignment horizontal="left" vertical="center" wrapText="1" indent="2"/>
    </xf>
    <xf numFmtId="0" fontId="2" fillId="0" borderId="2" xfId="1" applyFont="1" applyFill="1" applyBorder="1" applyAlignment="1">
      <alignment horizontal="center" vertical="center" wrapText="1"/>
    </xf>
    <xf numFmtId="167" fontId="18" fillId="0" borderId="17" xfId="1" applyNumberFormat="1" applyFont="1" applyFill="1" applyBorder="1" applyAlignment="1">
      <alignment horizontal="center" vertical="center" wrapText="1"/>
    </xf>
    <xf numFmtId="49" fontId="18" fillId="0" borderId="8" xfId="1" applyNumberFormat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left" vertical="center" wrapText="1" indent="2"/>
    </xf>
    <xf numFmtId="0" fontId="2" fillId="0" borderId="8" xfId="1" applyFont="1" applyFill="1" applyBorder="1" applyAlignment="1">
      <alignment horizontal="center" vertical="center" wrapText="1"/>
    </xf>
    <xf numFmtId="167" fontId="18" fillId="0" borderId="8" xfId="1" applyNumberFormat="1" applyFont="1" applyFill="1" applyBorder="1" applyAlignment="1">
      <alignment horizontal="center" vertical="center" wrapText="1"/>
    </xf>
    <xf numFmtId="167" fontId="18" fillId="0" borderId="43" xfId="1" applyNumberFormat="1" applyFont="1" applyFill="1" applyBorder="1" applyAlignment="1">
      <alignment horizontal="center" vertical="center" wrapText="1"/>
    </xf>
    <xf numFmtId="167" fontId="18" fillId="0" borderId="10" xfId="1" applyNumberFormat="1" applyFont="1" applyFill="1" applyBorder="1" applyAlignment="1">
      <alignment horizontal="center" vertical="center" wrapText="1"/>
    </xf>
    <xf numFmtId="167" fontId="18" fillId="0" borderId="36" xfId="1" applyNumberFormat="1" applyFont="1" applyFill="1" applyBorder="1" applyAlignment="1">
      <alignment horizontal="center" vertical="center" wrapText="1"/>
    </xf>
    <xf numFmtId="167" fontId="18" fillId="0" borderId="37" xfId="1" applyNumberFormat="1" applyFont="1" applyFill="1" applyBorder="1" applyAlignment="1">
      <alignment horizontal="center" vertical="center" wrapText="1"/>
    </xf>
    <xf numFmtId="167" fontId="18" fillId="8" borderId="41" xfId="1" applyNumberFormat="1" applyFont="1" applyFill="1" applyBorder="1" applyAlignment="1">
      <alignment horizontal="center" vertical="center" wrapText="1"/>
    </xf>
    <xf numFmtId="167" fontId="18" fillId="0" borderId="41" xfId="1" applyNumberFormat="1" applyFont="1" applyFill="1" applyBorder="1" applyAlignment="1">
      <alignment horizontal="center" vertical="center" wrapText="1"/>
    </xf>
    <xf numFmtId="167" fontId="18" fillId="0" borderId="42" xfId="1" applyNumberFormat="1" applyFont="1" applyFill="1" applyBorder="1" applyAlignment="1">
      <alignment horizontal="center" vertical="center" wrapText="1"/>
    </xf>
    <xf numFmtId="167" fontId="18" fillId="8" borderId="14" xfId="1" applyNumberFormat="1" applyFont="1" applyFill="1" applyBorder="1" applyAlignment="1">
      <alignment horizontal="center" vertical="center" wrapText="1"/>
    </xf>
    <xf numFmtId="167" fontId="18" fillId="8" borderId="9" xfId="1" applyNumberFormat="1" applyFont="1" applyFill="1" applyBorder="1" applyAlignment="1">
      <alignment horizontal="center" vertical="center" wrapText="1"/>
    </xf>
    <xf numFmtId="167" fontId="18" fillId="0" borderId="14" xfId="1" applyNumberFormat="1" applyFont="1" applyFill="1" applyBorder="1" applyAlignment="1">
      <alignment horizontal="center" vertical="center" wrapText="1"/>
    </xf>
    <xf numFmtId="167" fontId="18" fillId="0" borderId="9" xfId="1" applyNumberFormat="1" applyFont="1" applyFill="1" applyBorder="1" applyAlignment="1">
      <alignment horizontal="center" vertical="center" wrapText="1"/>
    </xf>
    <xf numFmtId="167" fontId="18" fillId="0" borderId="5" xfId="1" applyNumberFormat="1" applyFont="1" applyFill="1" applyBorder="1" applyAlignment="1">
      <alignment horizontal="center" vertical="center" wrapText="1"/>
    </xf>
    <xf numFmtId="167" fontId="18" fillId="0" borderId="6" xfId="1" applyNumberFormat="1" applyFont="1" applyFill="1" applyBorder="1" applyAlignment="1">
      <alignment horizontal="center" vertical="center" wrapText="1"/>
    </xf>
    <xf numFmtId="167" fontId="18" fillId="8" borderId="44" xfId="1" applyNumberFormat="1" applyFont="1" applyFill="1" applyBorder="1" applyAlignment="1">
      <alignment horizontal="center" vertical="center" wrapText="1"/>
    </xf>
    <xf numFmtId="167" fontId="18" fillId="8" borderId="45" xfId="1" applyNumberFormat="1" applyFont="1" applyFill="1" applyBorder="1" applyAlignment="1">
      <alignment horizontal="center" vertical="center" wrapText="1"/>
    </xf>
    <xf numFmtId="167" fontId="26" fillId="8" borderId="2" xfId="1" applyNumberFormat="1" applyFont="1" applyFill="1" applyBorder="1" applyAlignment="1">
      <alignment horizontal="center" vertical="center" wrapText="1"/>
    </xf>
    <xf numFmtId="167" fontId="26" fillId="8" borderId="5" xfId="1" applyNumberFormat="1" applyFont="1" applyFill="1" applyBorder="1" applyAlignment="1">
      <alignment horizontal="center" vertical="center" wrapText="1"/>
    </xf>
    <xf numFmtId="167" fontId="26" fillId="8" borderId="6" xfId="1" applyNumberFormat="1" applyFont="1" applyFill="1" applyBorder="1" applyAlignment="1">
      <alignment horizontal="center" vertical="center" wrapText="1"/>
    </xf>
    <xf numFmtId="167" fontId="26" fillId="8" borderId="17" xfId="1" applyNumberFormat="1" applyFont="1" applyFill="1" applyBorder="1" applyAlignment="1">
      <alignment horizontal="center" vertical="center" wrapText="1"/>
    </xf>
    <xf numFmtId="167" fontId="19" fillId="0" borderId="5" xfId="1" applyNumberFormat="1" applyFont="1" applyFill="1" applyBorder="1" applyAlignment="1">
      <alignment horizontal="center" vertical="center" wrapText="1"/>
    </xf>
    <xf numFmtId="167" fontId="19" fillId="0" borderId="6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left" vertical="center" wrapText="1"/>
    </xf>
    <xf numFmtId="0" fontId="4" fillId="0" borderId="28" xfId="1" applyFont="1" applyBorder="1" applyAlignment="1">
      <alignment vertical="center" wrapText="1"/>
    </xf>
    <xf numFmtId="0" fontId="4" fillId="0" borderId="24" xfId="1" applyFont="1" applyBorder="1" applyAlignment="1">
      <alignment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5" fillId="0" borderId="24" xfId="1" applyNumberFormat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0" fontId="9" fillId="0" borderId="0" xfId="4" applyFont="1" applyAlignment="1">
      <alignment horizontal="center"/>
    </xf>
    <xf numFmtId="0" fontId="16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5" fillId="0" borderId="31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9" fillId="9" borderId="30" xfId="1" applyFont="1" applyFill="1" applyBorder="1" applyAlignment="1">
      <alignment horizontal="center" vertical="center" wrapText="1"/>
    </xf>
    <xf numFmtId="0" fontId="19" fillId="9" borderId="34" xfId="1" applyFont="1" applyFill="1" applyBorder="1" applyAlignment="1">
      <alignment horizontal="center" vertical="center" wrapText="1"/>
    </xf>
    <xf numFmtId="0" fontId="19" fillId="9" borderId="35" xfId="1" applyFont="1" applyFill="1" applyBorder="1" applyAlignment="1">
      <alignment horizontal="center" vertical="center" wrapText="1"/>
    </xf>
    <xf numFmtId="0" fontId="18" fillId="7" borderId="30" xfId="1" applyFont="1" applyFill="1" applyBorder="1" applyAlignment="1">
      <alignment horizontal="center" vertical="center" wrapText="1"/>
    </xf>
    <xf numFmtId="0" fontId="18" fillId="7" borderId="34" xfId="1" applyFont="1" applyFill="1" applyBorder="1" applyAlignment="1">
      <alignment horizontal="center" vertical="center" wrapText="1"/>
    </xf>
    <xf numFmtId="0" fontId="18" fillId="7" borderId="35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 wrapText="1"/>
    </xf>
    <xf numFmtId="0" fontId="18" fillId="3" borderId="26" xfId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center" vertical="center" wrapText="1"/>
    </xf>
    <xf numFmtId="0" fontId="18" fillId="3" borderId="22" xfId="1" applyFont="1" applyFill="1" applyBorder="1" applyAlignment="1">
      <alignment horizontal="center" vertical="center" wrapText="1"/>
    </xf>
    <xf numFmtId="0" fontId="18" fillId="4" borderId="26" xfId="1" applyFont="1" applyFill="1" applyBorder="1" applyAlignment="1">
      <alignment horizontal="center" vertical="center" wrapText="1"/>
    </xf>
    <xf numFmtId="0" fontId="18" fillId="4" borderId="0" xfId="1" applyFont="1" applyFill="1" applyBorder="1" applyAlignment="1">
      <alignment horizontal="center" vertical="center" wrapText="1"/>
    </xf>
    <xf numFmtId="0" fontId="18" fillId="4" borderId="22" xfId="1" applyFont="1" applyFill="1" applyBorder="1" applyAlignment="1">
      <alignment horizontal="center" vertical="center" wrapText="1"/>
    </xf>
    <xf numFmtId="0" fontId="18" fillId="5" borderId="26" xfId="1" applyFont="1" applyFill="1" applyBorder="1" applyAlignment="1">
      <alignment horizontal="center" vertical="center" wrapText="1"/>
    </xf>
    <xf numFmtId="0" fontId="18" fillId="5" borderId="0" xfId="1" applyFont="1" applyFill="1" applyBorder="1" applyAlignment="1">
      <alignment horizontal="center" vertical="center" wrapText="1"/>
    </xf>
    <xf numFmtId="0" fontId="18" fillId="5" borderId="22" xfId="1" applyFont="1" applyFill="1" applyBorder="1" applyAlignment="1">
      <alignment horizontal="center" vertical="center" wrapText="1"/>
    </xf>
    <xf numFmtId="0" fontId="18" fillId="6" borderId="26" xfId="1" applyFont="1" applyFill="1" applyBorder="1" applyAlignment="1">
      <alignment horizontal="center" vertical="center" wrapText="1"/>
    </xf>
    <xf numFmtId="0" fontId="18" fillId="6" borderId="0" xfId="1" applyFont="1" applyFill="1" applyBorder="1" applyAlignment="1">
      <alignment horizontal="center" vertical="center" wrapText="1"/>
    </xf>
    <xf numFmtId="0" fontId="18" fillId="6" borderId="22" xfId="1" applyFont="1" applyFill="1" applyBorder="1" applyAlignment="1">
      <alignment horizontal="center" vertical="center" wrapText="1"/>
    </xf>
    <xf numFmtId="0" fontId="18" fillId="7" borderId="24" xfId="1" applyFont="1" applyFill="1" applyBorder="1" applyAlignment="1">
      <alignment horizontal="center" vertical="center" wrapText="1"/>
    </xf>
    <xf numFmtId="0" fontId="18" fillId="7" borderId="31" xfId="1" applyFont="1" applyFill="1" applyBorder="1" applyAlignment="1">
      <alignment horizontal="center" vertical="center" wrapText="1"/>
    </xf>
    <xf numFmtId="0" fontId="18" fillId="7" borderId="2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18" fillId="2" borderId="34" xfId="1" applyFont="1" applyFill="1" applyBorder="1" applyAlignment="1">
      <alignment horizontal="center" vertical="center" wrapText="1"/>
    </xf>
    <xf numFmtId="0" fontId="18" fillId="2" borderId="35" xfId="1" applyFont="1" applyFill="1" applyBorder="1" applyAlignment="1">
      <alignment horizontal="center" vertical="center" wrapText="1"/>
    </xf>
    <xf numFmtId="0" fontId="18" fillId="3" borderId="30" xfId="1" applyFont="1" applyFill="1" applyBorder="1" applyAlignment="1">
      <alignment horizontal="center" vertical="center" wrapText="1"/>
    </xf>
    <xf numFmtId="0" fontId="18" fillId="3" borderId="34" xfId="1" applyFont="1" applyFill="1" applyBorder="1" applyAlignment="1">
      <alignment horizontal="center" vertical="center" wrapText="1"/>
    </xf>
    <xf numFmtId="0" fontId="18" fillId="3" borderId="35" xfId="1" applyFont="1" applyFill="1" applyBorder="1" applyAlignment="1">
      <alignment horizontal="center" vertical="center" wrapText="1"/>
    </xf>
    <xf numFmtId="0" fontId="18" fillId="4" borderId="30" xfId="1" applyFont="1" applyFill="1" applyBorder="1" applyAlignment="1">
      <alignment horizontal="center" vertical="center" wrapText="1"/>
    </xf>
    <xf numFmtId="0" fontId="18" fillId="4" borderId="34" xfId="1" applyFont="1" applyFill="1" applyBorder="1" applyAlignment="1">
      <alignment horizontal="center" vertical="center" wrapText="1"/>
    </xf>
    <xf numFmtId="0" fontId="18" fillId="4" borderId="35" xfId="1" applyFont="1" applyFill="1" applyBorder="1" applyAlignment="1">
      <alignment horizontal="center" vertical="center" wrapText="1"/>
    </xf>
    <xf numFmtId="0" fontId="18" fillId="5" borderId="30" xfId="1" applyFont="1" applyFill="1" applyBorder="1" applyAlignment="1">
      <alignment horizontal="center" vertical="center" wrapText="1"/>
    </xf>
    <xf numFmtId="0" fontId="18" fillId="5" borderId="34" xfId="1" applyFont="1" applyFill="1" applyBorder="1" applyAlignment="1">
      <alignment horizontal="center" vertical="center" wrapText="1"/>
    </xf>
    <xf numFmtId="0" fontId="18" fillId="5" borderId="35" xfId="1" applyFont="1" applyFill="1" applyBorder="1" applyAlignment="1">
      <alignment horizontal="center" vertical="center" wrapText="1"/>
    </xf>
    <xf numFmtId="0" fontId="18" fillId="6" borderId="30" xfId="1" applyFont="1" applyFill="1" applyBorder="1" applyAlignment="1">
      <alignment horizontal="center" vertical="center" wrapText="1"/>
    </xf>
    <xf numFmtId="0" fontId="18" fillId="6" borderId="34" xfId="1" applyFont="1" applyFill="1" applyBorder="1" applyAlignment="1">
      <alignment horizontal="center" vertical="center" wrapText="1"/>
    </xf>
    <xf numFmtId="0" fontId="18" fillId="6" borderId="35" xfId="1" applyFont="1" applyFill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4" fillId="0" borderId="32" xfId="1" applyFont="1" applyBorder="1" applyAlignment="1">
      <alignment horizontal="left" wrapText="1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left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2" fontId="4" fillId="0" borderId="47" xfId="1" applyNumberFormat="1" applyFont="1" applyBorder="1" applyAlignment="1">
      <alignment horizontal="left" vertical="center" wrapText="1"/>
    </xf>
    <xf numFmtId="2" fontId="4" fillId="0" borderId="12" xfId="1" applyNumberFormat="1" applyFont="1" applyBorder="1" applyAlignment="1">
      <alignment horizontal="left" vertical="center" wrapText="1"/>
    </xf>
    <xf numFmtId="2" fontId="4" fillId="0" borderId="8" xfId="1" applyNumberFormat="1" applyFont="1" applyBorder="1" applyAlignment="1">
      <alignment horizontal="left" vertical="center" wrapText="1"/>
    </xf>
    <xf numFmtId="0" fontId="4" fillId="0" borderId="47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wrapText="1"/>
    </xf>
    <xf numFmtId="0" fontId="4" fillId="0" borderId="13" xfId="1" applyFont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left" wrapText="1"/>
    </xf>
    <xf numFmtId="0" fontId="11" fillId="0" borderId="30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9" fontId="19" fillId="0" borderId="11" xfId="1" applyNumberFormat="1" applyFont="1" applyBorder="1" applyAlignment="1">
      <alignment horizontal="center" vertical="center" wrapText="1"/>
    </xf>
    <xf numFmtId="49" fontId="18" fillId="0" borderId="38" xfId="1" applyNumberFormat="1" applyFont="1" applyBorder="1" applyAlignment="1">
      <alignment horizontal="center" vertical="center" wrapText="1"/>
    </xf>
    <xf numFmtId="49" fontId="19" fillId="0" borderId="8" xfId="1" applyNumberFormat="1" applyFont="1" applyBorder="1" applyAlignment="1">
      <alignment horizontal="center" vertical="center" wrapText="1"/>
    </xf>
    <xf numFmtId="49" fontId="18" fillId="0" borderId="2" xfId="1" applyNumberFormat="1" applyFont="1" applyFill="1" applyBorder="1" applyAlignment="1">
      <alignment horizontal="center" vertical="center" wrapText="1"/>
    </xf>
    <xf numFmtId="167" fontId="26" fillId="8" borderId="18" xfId="1" applyNumberFormat="1" applyFont="1" applyFill="1" applyBorder="1" applyAlignment="1">
      <alignment horizontal="center" vertical="center" wrapText="1"/>
    </xf>
  </cellXfs>
  <cellStyles count="49">
    <cellStyle name="_прил 23-27 ЧЭ ХВС" xfId="7"/>
    <cellStyle name="AFE" xfId="8"/>
    <cellStyle name="Alilciue [0]_AAA" xfId="9"/>
    <cellStyle name="Alilciue_AAA" xfId="10"/>
    <cellStyle name="Äĺíĺćíűé_AN" xfId="11"/>
    <cellStyle name="Alilciue_IKGPR" xfId="12"/>
    <cellStyle name="Äĺíĺćíűé_KOTELPR" xfId="13"/>
    <cellStyle name="Alilciue_RAZRAD" xfId="14"/>
    <cellStyle name="Äĺíĺćíűé_REG" xfId="15"/>
    <cellStyle name="Iau?iue_AAA" xfId="16"/>
    <cellStyle name="Îáű÷íűé_1 číä óä10" xfId="17"/>
    <cellStyle name="Nun??c [0]_AAA" xfId="18"/>
    <cellStyle name="Nun??c_AAA" xfId="19"/>
    <cellStyle name="Ňűń˙÷č [0]_1 číä óä10" xfId="20"/>
    <cellStyle name="Ňűń˙÷č_1 číä óä10" xfId="21"/>
    <cellStyle name="Ôčíŕíńîâűé [0]_ATPCD30" xfId="22"/>
    <cellStyle name="Ôčíŕíńîâűé_ATPCD30" xfId="23"/>
    <cellStyle name="Гиперссылка 2" xfId="40"/>
    <cellStyle name="Денежный [0Э_11DXATP" xfId="24"/>
    <cellStyle name="ЗаголовокСтолбца" xfId="41"/>
    <cellStyle name="Обычный" xfId="0" builtinId="0"/>
    <cellStyle name="Обычный 2" xfId="5"/>
    <cellStyle name="Обычный 2 2" xfId="39"/>
    <cellStyle name="Обычный 2 3" xfId="42"/>
    <cellStyle name="Обычный 2_ООО Тепловая компания (печора)" xfId="1"/>
    <cellStyle name="Обычный 3" xfId="25"/>
    <cellStyle name="Обычный 3 2" xfId="43"/>
    <cellStyle name="Обычный 32" xfId="44"/>
    <cellStyle name="Обычный 4" xfId="26"/>
    <cellStyle name="Обычный 4 2" xfId="45"/>
    <cellStyle name="Обычный 5" xfId="2"/>
    <cellStyle name="Обычный 5 2" xfId="27"/>
    <cellStyle name="Обычный 5 3" xfId="28"/>
    <cellStyle name="Обычный 6" xfId="29"/>
    <cellStyle name="Обычный 7" xfId="30"/>
    <cellStyle name="Обычный 8" xfId="38"/>
    <cellStyle name="Обычный 8 2" xfId="46"/>
    <cellStyle name="Обычный 9" xfId="47"/>
    <cellStyle name="Обычный_PP_PitWater" xfId="4"/>
    <cellStyle name="Обычный_PP_Stok" xfId="48"/>
    <cellStyle name="Процентный 2" xfId="6"/>
    <cellStyle name="Процентный 3" xfId="31"/>
    <cellStyle name="Процентный 4" xfId="32"/>
    <cellStyle name="Процентный 5" xfId="33"/>
    <cellStyle name="Процентный 6" xfId="34"/>
    <cellStyle name="Стиль 1" xfId="3"/>
    <cellStyle name="Тысячи [0]_1 инд уд10" xfId="35"/>
    <cellStyle name="Тысячи_1 инд уд10" xfId="36"/>
    <cellStyle name="Финансовый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.7\committeecost\&#1089;&#1086;&#1088;&#1086;&#1082;&#1086;&#1074;&#1089;&#1082;&#1072;&#1103;\&#1046;&#1050;&#1061;\&#1055;&#1088;&#1077;&#1076;&#1077;&#1083;&#1100;&#1085;&#1099;&#1077;%202015%20&#1075;\&#1058;&#1072;&#1073;&#1083;&#1080;&#1094;&#1099;\TEPLO%2043(v%205.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%20&#1079;&#1072;&#1090;&#1088;&#1072;&#1090;%202019/&#1058;&#1072;&#1088;&#1080;&#1092;&#1099;%202019/&#1040;&#1085;&#1072;&#1076;&#1099;&#1088;&#1089;&#1082;&#1080;&#1081;/&#1058;&#1040;&#1056;&#1048;&#1060;&#1067;/&#1054;&#1054;&#1054;%20&#1042;&#1086;&#1076;&#1086;&#1082;&#1072;&#1085;&#1072;&#1083;%20&#1053;&#1080;&#1078;&#1085;&#1080;&#1081;%20&#1054;&#1076;&#1077;&#1089;/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40;&#1085;&#1072;&#1076;&#1099;&#1088;&#1089;&#1082;&#1080;&#1081;/&#1060;&#1072;&#1082;&#1090;_&#1050;&#1072;&#1085;&#1095;&#1072;&#1083;&#1072;&#1085;%202019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52;&#1072;&#1088;&#1082;&#1086;&#1074;&#1089;&#1082;&#1080;&#1081;/&#1060;&#1072;&#1082;&#1090;_&#1057;&#1085;&#1077;&#1078;&#1085;&#1086;&#1077;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55;&#1088;&#1086;&#1074;&#1080;&#1076;&#1077;&#1085;&#1089;&#1082;&#1080;&#1081;/&#1060;&#1072;&#1082;&#1090;_&#1057;&#1080;&#1088;&#1077;&#1085;&#1080;&#1082;&#1080;%202019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40;&#1085;&#1072;&#1076;&#1099;&#1088;&#1089;&#1082;&#1080;&#1081;/&#1060;&#1072;&#1082;&#1090;_&#1059;&#1075;&#1086;&#1083;&#1100;&#1085;&#1099;&#1077;%20&#1050;&#1086;&#1087;&#1080;%202019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41;&#1077;&#1088;&#1080;&#1085;&#1075;&#1086;&#1074;&#1089;&#1082;&#1080;&#1081;/&#1060;&#1072;&#1082;&#1090;_&#1040;&#1083;&#1100;&#1082;&#1072;&#1090;&#1074;&#1072;&#1072;&#1084;%202019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41;&#1077;&#1088;&#1080;&#1085;&#1075;&#1086;&#1074;&#1089;&#1082;&#1080;&#1081;/&#1060;&#1072;&#1082;&#1090;_&#1041;&#1077;&#1088;&#1080;&#1085;&#1075;&#1086;&#1074;&#1089;&#1082;&#1080;&#1081;%202019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41;&#1077;&#1088;&#1080;&#1085;&#1075;&#1086;&#1074;&#1089;&#1082;&#1080;&#1081;/&#1060;&#1072;&#1082;&#1090;_&#1052;&#1077;&#1081;&#1085;&#1099;&#1087;&#1080;&#1083;&#1100;&#1075;&#1080;&#1085;&#1086;%202019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41;&#1077;&#1088;&#1080;&#1085;&#1075;&#1086;&#1074;&#1089;&#1082;&#1080;&#1081;/&#1060;&#1072;&#1082;&#1090;_&#1061;&#1072;&#1090;&#1099;&#1088;&#1082;&#1072;%202019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52;&#1072;&#1088;&#1082;&#1086;&#1074;&#1089;&#1082;&#1080;&#1081;/&#1060;&#1072;&#1082;&#1090;_&#1042;&#1072;&#1077;&#1075;&#1080;%202019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52;&#1072;&#1088;&#1082;&#1086;&#1074;&#1089;&#1082;&#1080;&#1081;/&#1060;&#1072;&#1082;&#1090;_&#1052;&#1072;&#1088;&#1082;&#1086;&#1074;&#1086;%202019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52;&#1072;&#1088;&#1082;&#1086;&#1074;&#1089;&#1082;&#1080;&#1081;/&#1060;&#1072;&#1082;&#1090;_&#1059;&#1089;&#1090;&#1100;-&#1041;&#1077;&#1083;&#1072;&#1103;%202019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55;&#1088;&#1086;&#1074;&#1080;&#1076;&#1077;&#1085;&#1089;&#1082;&#1080;&#1081;/&#1060;&#1072;&#1082;&#1090;_&#1053;&#1086;&#1074;&#1086;&#1077;%20&#1063;&#1072;&#1087;&#1083;&#1080;&#1085;&#1086;%20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19%20&#1075;&#1086;&#1076;/&#1055;&#1088;&#1086;&#1074;&#1080;&#1076;&#1077;&#1085;&#1089;&#1082;&#1080;&#1081;/&#1060;&#1072;&#1082;&#1090;_&#1055;&#1088;&#1086;&#1074;&#1080;&#1076;&#1077;&#1085;&#1080;&#1103;%202019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20%20&#1075;&#1086;&#1076;/&#1043;&#1055;%20&#1063;&#1050;&#1061;/&#1063;&#1050;&#1061;%20&#1042;&#1054;&#1044;&#1054;&#1055;&#1056;&#1054;&#1042;&#1054;&#1044;%202020%20&#1082;&#1086;&#1088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%20&#1079;&#1072;&#1090;&#1088;&#1072;&#1090;%202019/&#1058;&#1072;&#1088;&#1080;&#1092;&#1099;%202019/&#1040;&#1085;&#1072;&#1076;&#1099;&#1088;&#1089;&#1082;&#1080;&#1081;/&#1055;&#1083;&#1072;&#1085;%20&#1079;&#1072;&#1090;&#1088;&#1072;&#1090;_&#1040;&#1085;&#1072;&#1076;&#1060;&#1080;&#1083;_2019_v0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%20&#1079;&#1072;&#1090;&#1088;&#1072;&#1090;%202019/&#1058;&#1072;&#1088;&#1080;&#1092;&#1099;%202019/&#1041;&#1077;&#1088;&#1080;&#1085;&#1075;&#1086;&#1074;&#1089;&#1082;&#1080;&#1081;/&#1055;&#1083;&#1072;&#1085;%20&#1079;&#1072;&#1090;&#1088;&#1072;&#1090;_&#1041;&#1077;&#1088;&#1060;&#1080;&#1083;_2019_v0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%20&#1079;&#1072;&#1090;&#1088;&#1072;&#1090;%202019/&#1058;&#1072;&#1088;&#1080;&#1092;&#1099;%202019/&#1052;&#1072;&#1088;&#1082;&#1086;&#1074;&#1089;&#1082;&#1080;&#1081;/&#1055;&#1083;&#1072;&#1085;%20&#1079;&#1072;&#1090;&#1088;&#1072;&#1090;_&#1052;&#1072;&#1088;&#1082;&#1060;&#1080;&#1083;_2019_v0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%20&#1079;&#1072;&#1090;&#1088;&#1072;&#1090;%202019/&#1058;&#1072;&#1088;&#1080;&#1092;&#1099;%202019/&#1055;&#1088;&#1086;&#1074;&#1080;&#1076;&#1077;&#1085;&#1089;&#1082;&#1080;&#1081;/&#1055;&#1083;&#1072;&#1085;%20&#1079;&#1072;&#1090;&#1088;&#1072;&#1090;_&#1055;&#1088;&#1086;&#1074;&#1060;&#1080;&#1083;_2019_v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равочники"/>
      <sheetName val="Список листов"/>
      <sheetName val="Перечень документов"/>
      <sheetName val="Заявление"/>
      <sheetName val="Финпоказатели"/>
      <sheetName val="Производственные показатели"/>
      <sheetName val="П1"/>
      <sheetName val="П1.1"/>
      <sheetName val="П1.2"/>
      <sheetName val="П2"/>
      <sheetName val="П3"/>
      <sheetName val="П4"/>
      <sheetName val="П5"/>
      <sheetName val="П6"/>
      <sheetName val="П7"/>
      <sheetName val="П8"/>
      <sheetName val="П9"/>
      <sheetName val="П10"/>
      <sheetName val="П11"/>
      <sheetName val="П12"/>
      <sheetName val="П13"/>
      <sheetName val="П14"/>
      <sheetName val="П15"/>
      <sheetName val="П16"/>
      <sheetName val="П17"/>
      <sheetName val="П18"/>
      <sheetName val="П19"/>
      <sheetName val="П20"/>
      <sheetName val="П21"/>
      <sheetName val="П22"/>
      <sheetName val="П23"/>
      <sheetName val="Производство"/>
      <sheetName val="Смета производство"/>
      <sheetName val="Топливо"/>
      <sheetName val="Индексы производство"/>
      <sheetName val="Т1"/>
      <sheetName val="Т2"/>
      <sheetName val="Т2.1"/>
      <sheetName val="Т3"/>
      <sheetName val="Т4"/>
      <sheetName val="Т5"/>
      <sheetName val="Т6"/>
      <sheetName val="Т7"/>
      <sheetName val="Т8"/>
      <sheetName val="Т9"/>
      <sheetName val="Т10"/>
      <sheetName val="Т11"/>
      <sheetName val="Т12"/>
      <sheetName val="Т13"/>
      <sheetName val="Т14"/>
      <sheetName val="Т15"/>
      <sheetName val="Т16"/>
      <sheetName val="Т17"/>
      <sheetName val="Т18"/>
      <sheetName val="Передача"/>
      <sheetName val="Смета передача"/>
      <sheetName val="Активы передача"/>
      <sheetName val="Индексы передача"/>
      <sheetName val="Производство + Передача"/>
      <sheetName val="Смета расходов пр-во+передача "/>
      <sheetName val="Индексы (производство+передача)"/>
      <sheetName val="Проверка"/>
      <sheetName val="et_union"/>
      <sheetName val="et_union_h"/>
      <sheetName val="et_union_v"/>
      <sheetName val="ObjectPr"/>
      <sheetName val="ObjectPer"/>
      <sheetName val="TEHSHEET"/>
      <sheetName val="REESTR_START"/>
      <sheetName val="REESTR_ORG"/>
      <sheetName val="REESTR"/>
      <sheetName val="modHyp"/>
      <sheetName val="modNP"/>
      <sheetName val="modObjOperation"/>
    </sheetNames>
    <sheetDataSet>
      <sheetData sheetId="0"/>
      <sheetData sheetId="1"/>
      <sheetData sheetId="2">
        <row r="17">
          <cell r="E17" t="str">
            <v>газ природный</v>
          </cell>
          <cell r="F17" t="str">
            <v>тыс.куб.м.</v>
          </cell>
        </row>
        <row r="18">
          <cell r="E18" t="str">
            <v>газ сжиженный</v>
          </cell>
          <cell r="F18" t="str">
            <v>тыс.куб.м.</v>
          </cell>
        </row>
        <row r="19">
          <cell r="E19" t="str">
            <v>дизельное топливо</v>
          </cell>
          <cell r="F19" t="str">
            <v>тонн</v>
          </cell>
        </row>
        <row r="20">
          <cell r="E20" t="str">
            <v>дрова</v>
          </cell>
          <cell r="F20" t="str">
            <v>куб.м.</v>
          </cell>
        </row>
        <row r="21">
          <cell r="E21" t="str">
            <v>мазут топочный</v>
          </cell>
          <cell r="F21" t="str">
            <v>тонн</v>
          </cell>
        </row>
        <row r="22">
          <cell r="E22" t="str">
            <v>опил</v>
          </cell>
          <cell r="F22" t="str">
            <v>куб.м.</v>
          </cell>
        </row>
        <row r="23">
          <cell r="E23" t="str">
            <v>отходы березовые</v>
          </cell>
          <cell r="F23" t="str">
            <v>куб.м.</v>
          </cell>
        </row>
        <row r="24">
          <cell r="E24" t="str">
            <v>отходы осиновые</v>
          </cell>
          <cell r="F24" t="str">
            <v>куб.м.</v>
          </cell>
        </row>
        <row r="25">
          <cell r="E25" t="str">
            <v>печное топливо</v>
          </cell>
          <cell r="F25" t="str">
            <v>тонн</v>
          </cell>
        </row>
        <row r="26">
          <cell r="E26" t="str">
            <v>пеллеты</v>
          </cell>
          <cell r="F26" t="str">
            <v>куб.м.</v>
          </cell>
        </row>
        <row r="27">
          <cell r="E27" t="str">
            <v>смола</v>
          </cell>
          <cell r="F27" t="str">
            <v>тонн</v>
          </cell>
        </row>
        <row r="28">
          <cell r="E28" t="str">
            <v>торф</v>
          </cell>
          <cell r="F28" t="str">
            <v>тонн</v>
          </cell>
        </row>
        <row r="29">
          <cell r="E29" t="str">
            <v>уголь бурый</v>
          </cell>
          <cell r="F29" t="str">
            <v>тонн</v>
          </cell>
        </row>
        <row r="30">
          <cell r="E30" t="str">
            <v>уголь каменный</v>
          </cell>
          <cell r="F30" t="str">
            <v>тонн</v>
          </cell>
        </row>
        <row r="31">
          <cell r="E31" t="str">
            <v>щепа</v>
          </cell>
          <cell r="F31" t="str">
            <v>куб.м.</v>
          </cell>
        </row>
        <row r="32">
          <cell r="E32" t="str">
            <v>другой</v>
          </cell>
          <cell r="F32" t="str">
            <v>Произвольный</v>
          </cell>
        </row>
        <row r="33">
          <cell r="E33" t="str">
            <v>Не определено</v>
          </cell>
          <cell r="F33" t="str">
            <v>Служебный тип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за 1 п.г05 "/>
      <sheetName val="ГОД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/>
      <sheetData sheetId="2">
        <row r="7">
          <cell r="F7">
            <v>9638.1859999999997</v>
          </cell>
        </row>
        <row r="19">
          <cell r="G19">
            <v>42.54399999999999</v>
          </cell>
        </row>
        <row r="76">
          <cell r="H76">
            <v>24811.191189999998</v>
          </cell>
        </row>
      </sheetData>
      <sheetData sheetId="3"/>
      <sheetData sheetId="4">
        <row r="7">
          <cell r="H7">
            <v>14090.2</v>
          </cell>
        </row>
        <row r="11">
          <cell r="H11">
            <v>36.04450000000007</v>
          </cell>
        </row>
        <row r="14">
          <cell r="H14">
            <v>373.13249999999999</v>
          </cell>
        </row>
        <row r="15">
          <cell r="H15">
            <v>180</v>
          </cell>
        </row>
        <row r="23">
          <cell r="H23">
            <v>14</v>
          </cell>
        </row>
        <row r="76">
          <cell r="H76">
            <v>11876.701000000001</v>
          </cell>
        </row>
        <row r="78">
          <cell r="H78">
            <v>5.5</v>
          </cell>
        </row>
        <row r="79">
          <cell r="H79">
            <v>393.5</v>
          </cell>
        </row>
        <row r="80">
          <cell r="H80">
            <v>655.11799999999994</v>
          </cell>
        </row>
        <row r="81">
          <cell r="H81">
            <v>216.55799999999999</v>
          </cell>
        </row>
        <row r="82">
          <cell r="H82">
            <v>21.6</v>
          </cell>
        </row>
        <row r="88">
          <cell r="H88">
            <v>512.04600000000005</v>
          </cell>
        </row>
      </sheetData>
      <sheetData sheetId="5">
        <row r="7">
          <cell r="H7">
            <v>15154.545</v>
          </cell>
        </row>
        <row r="11">
          <cell r="H11">
            <v>203.73681000000002</v>
          </cell>
        </row>
        <row r="14">
          <cell r="H14">
            <v>810.26699999999994</v>
          </cell>
        </row>
        <row r="15">
          <cell r="H15">
            <v>467.83199999999999</v>
          </cell>
        </row>
        <row r="23">
          <cell r="H23">
            <v>15.889999999999999</v>
          </cell>
        </row>
        <row r="76">
          <cell r="H76">
            <v>12934.49019</v>
          </cell>
        </row>
        <row r="78">
          <cell r="H78">
            <v>11</v>
          </cell>
        </row>
        <row r="79">
          <cell r="H79">
            <v>197</v>
          </cell>
        </row>
        <row r="80">
          <cell r="H80">
            <v>722.69600000000003</v>
          </cell>
        </row>
        <row r="81">
          <cell r="H81">
            <v>129</v>
          </cell>
        </row>
        <row r="82">
          <cell r="H82">
            <v>21.6</v>
          </cell>
        </row>
        <row r="88">
          <cell r="H88">
            <v>124.75500000000001</v>
          </cell>
        </row>
      </sheetData>
      <sheetData sheetId="6">
        <row r="77">
          <cell r="G77">
            <v>183.43</v>
          </cell>
        </row>
      </sheetData>
      <sheetData sheetId="7">
        <row r="77">
          <cell r="G77">
            <v>69.661000000000001</v>
          </cell>
        </row>
      </sheetData>
      <sheetData sheetId="8">
        <row r="77">
          <cell r="G77">
            <v>92.762</v>
          </cell>
        </row>
      </sheetData>
      <sheetData sheetId="9">
        <row r="77">
          <cell r="G77">
            <v>125.37499999999999</v>
          </cell>
        </row>
      </sheetData>
      <sheetData sheetId="10">
        <row r="13">
          <cell r="F13">
            <v>1380.867</v>
          </cell>
        </row>
      </sheetData>
      <sheetData sheetId="11"/>
      <sheetData sheetId="12">
        <row r="13">
          <cell r="F13">
            <v>863.56600000000003</v>
          </cell>
        </row>
      </sheetData>
      <sheetData sheetId="13"/>
      <sheetData sheetId="14">
        <row r="13">
          <cell r="F13">
            <v>1085.9059999999999</v>
          </cell>
        </row>
      </sheetData>
      <sheetData sheetId="15"/>
      <sheetData sheetId="16">
        <row r="13">
          <cell r="F13">
            <v>912.15499999999997</v>
          </cell>
        </row>
      </sheetData>
      <sheetData sheetId="17"/>
      <sheetData sheetId="18">
        <row r="13">
          <cell r="F13">
            <v>572.077</v>
          </cell>
        </row>
      </sheetData>
      <sheetData sheetId="19"/>
      <sheetData sheetId="20">
        <row r="13">
          <cell r="F13">
            <v>113.732</v>
          </cell>
        </row>
      </sheetData>
      <sheetData sheetId="21"/>
      <sheetData sheetId="22">
        <row r="13">
          <cell r="F13">
            <v>0</v>
          </cell>
        </row>
      </sheetData>
      <sheetData sheetId="23"/>
      <sheetData sheetId="24">
        <row r="13">
          <cell r="F13">
            <v>0</v>
          </cell>
        </row>
      </sheetData>
      <sheetData sheetId="25"/>
      <sheetData sheetId="26">
        <row r="13">
          <cell r="F13">
            <v>403.64400000000001</v>
          </cell>
        </row>
      </sheetData>
      <sheetData sheetId="27"/>
      <sheetData sheetId="28">
        <row r="13">
          <cell r="F13">
            <v>774.2399999999999</v>
          </cell>
        </row>
      </sheetData>
      <sheetData sheetId="29"/>
      <sheetData sheetId="30">
        <row r="13">
          <cell r="F13">
            <v>900.87099999999998</v>
          </cell>
        </row>
      </sheetData>
      <sheetData sheetId="31"/>
      <sheetData sheetId="32">
        <row r="13">
          <cell r="F13">
            <v>1100.5439999999999</v>
          </cell>
        </row>
      </sheetData>
      <sheetData sheetId="3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>
        <row r="7">
          <cell r="F7">
            <v>3633.8499999999995</v>
          </cell>
        </row>
        <row r="19">
          <cell r="G19">
            <v>11.680000000000001</v>
          </cell>
        </row>
        <row r="79">
          <cell r="H79">
            <v>55.958999999999996</v>
          </cell>
        </row>
        <row r="80">
          <cell r="H80">
            <v>164.34700000000001</v>
          </cell>
        </row>
        <row r="82">
          <cell r="H82">
            <v>20.361000000000001</v>
          </cell>
        </row>
        <row r="88">
          <cell r="H88">
            <v>109.258</v>
          </cell>
        </row>
      </sheetData>
      <sheetData sheetId="2"/>
      <sheetData sheetId="3"/>
      <sheetData sheetId="4">
        <row r="7">
          <cell r="H7">
            <v>2501</v>
          </cell>
        </row>
        <row r="11">
          <cell r="H11">
            <v>163.32400000000001</v>
          </cell>
        </row>
        <row r="14">
          <cell r="H14">
            <v>242.08500000000001</v>
          </cell>
        </row>
        <row r="15">
          <cell r="H15">
            <v>168</v>
          </cell>
        </row>
        <row r="76">
          <cell r="H76">
            <v>1914.5699999999997</v>
          </cell>
        </row>
        <row r="79">
          <cell r="H79">
            <v>24.668999999999997</v>
          </cell>
        </row>
        <row r="80">
          <cell r="H80">
            <v>82.075000000000017</v>
          </cell>
        </row>
        <row r="82">
          <cell r="H82">
            <v>10.408000000000001</v>
          </cell>
        </row>
        <row r="88">
          <cell r="H88">
            <v>63.869</v>
          </cell>
        </row>
      </sheetData>
      <sheetData sheetId="5">
        <row r="7">
          <cell r="H7">
            <v>2699</v>
          </cell>
        </row>
        <row r="11">
          <cell r="H11">
            <v>141.02700000000002</v>
          </cell>
        </row>
        <row r="14">
          <cell r="H14">
            <v>366.46300000000002</v>
          </cell>
        </row>
        <row r="15">
          <cell r="H15">
            <v>278</v>
          </cell>
        </row>
        <row r="76">
          <cell r="H76">
            <v>2022.6060000000002</v>
          </cell>
        </row>
        <row r="79">
          <cell r="H79">
            <v>31.289999999999996</v>
          </cell>
        </row>
        <row r="80">
          <cell r="H80">
            <v>82.272000000000006</v>
          </cell>
        </row>
        <row r="82">
          <cell r="H82">
            <v>9.9529999999999994</v>
          </cell>
        </row>
        <row r="88">
          <cell r="H88">
            <v>45.388999999999996</v>
          </cell>
        </row>
      </sheetData>
      <sheetData sheetId="6">
        <row r="77">
          <cell r="G77">
            <v>40.578000000000003</v>
          </cell>
        </row>
      </sheetData>
      <sheetData sheetId="7">
        <row r="77">
          <cell r="G77">
            <v>26.733000000000001</v>
          </cell>
        </row>
      </sheetData>
      <sheetData sheetId="8">
        <row r="77">
          <cell r="G77">
            <v>31.725999999999999</v>
          </cell>
        </row>
      </sheetData>
      <sheetData sheetId="9">
        <row r="77">
          <cell r="G77">
            <v>50.17</v>
          </cell>
        </row>
      </sheetData>
      <sheetData sheetId="10">
        <row r="7">
          <cell r="F7">
            <v>545.83799999999997</v>
          </cell>
        </row>
      </sheetData>
      <sheetData sheetId="11"/>
      <sheetData sheetId="12">
        <row r="7">
          <cell r="F7">
            <v>451.48099999999999</v>
          </cell>
        </row>
      </sheetData>
      <sheetData sheetId="13"/>
      <sheetData sheetId="14">
        <row r="7">
          <cell r="F7">
            <v>505.887</v>
          </cell>
        </row>
      </sheetData>
      <sheetData sheetId="15"/>
      <sheetData sheetId="16">
        <row r="7">
          <cell r="F7">
            <v>383.8</v>
          </cell>
        </row>
      </sheetData>
      <sheetData sheetId="17"/>
      <sheetData sheetId="18">
        <row r="7">
          <cell r="F7">
            <v>245.554</v>
          </cell>
        </row>
      </sheetData>
      <sheetData sheetId="19"/>
      <sheetData sheetId="20">
        <row r="7">
          <cell r="F7">
            <v>35.069000000000003</v>
          </cell>
        </row>
      </sheetData>
      <sheetData sheetId="21"/>
      <sheetData sheetId="22">
        <row r="7">
          <cell r="F7">
            <v>0</v>
          </cell>
        </row>
      </sheetData>
      <sheetData sheetId="23"/>
      <sheetData sheetId="24">
        <row r="7">
          <cell r="F7">
            <v>0</v>
          </cell>
        </row>
      </sheetData>
      <sheetData sheetId="25"/>
      <sheetData sheetId="26">
        <row r="7">
          <cell r="F7">
            <v>148.59399999999999</v>
          </cell>
        </row>
      </sheetData>
      <sheetData sheetId="27"/>
      <sheetData sheetId="28">
        <row r="7">
          <cell r="F7">
            <v>365.73099999999999</v>
          </cell>
        </row>
      </sheetData>
      <sheetData sheetId="29"/>
      <sheetData sheetId="30">
        <row r="7">
          <cell r="F7">
            <v>438.065</v>
          </cell>
        </row>
      </sheetData>
      <sheetData sheetId="31"/>
      <sheetData sheetId="32">
        <row r="7">
          <cell r="F7">
            <v>513.83100000000002</v>
          </cell>
        </row>
      </sheetData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>
        <row r="7">
          <cell r="F7">
            <v>5342.9490499999993</v>
          </cell>
        </row>
        <row r="19">
          <cell r="G19">
            <v>101.62599999999999</v>
          </cell>
        </row>
        <row r="78">
          <cell r="H78">
            <v>0.16500000000000001</v>
          </cell>
        </row>
        <row r="79">
          <cell r="H79">
            <v>2.19</v>
          </cell>
        </row>
        <row r="80">
          <cell r="H80">
            <v>2.1339999999999999</v>
          </cell>
        </row>
        <row r="81">
          <cell r="H81">
            <v>0</v>
          </cell>
        </row>
        <row r="82">
          <cell r="H82">
            <v>0</v>
          </cell>
        </row>
        <row r="88">
          <cell r="H88">
            <v>34.92</v>
          </cell>
        </row>
        <row r="89">
          <cell r="H89">
            <v>10.530000000000005</v>
          </cell>
        </row>
      </sheetData>
      <sheetData sheetId="2"/>
      <sheetData sheetId="3">
        <row r="212">
          <cell r="F212">
            <v>50133770.530000001</v>
          </cell>
        </row>
      </sheetData>
      <sheetData sheetId="4">
        <row r="7">
          <cell r="H7">
            <v>6292</v>
          </cell>
        </row>
        <row r="11">
          <cell r="H11">
            <v>641.43867</v>
          </cell>
        </row>
        <row r="14">
          <cell r="H14">
            <v>3333.8036339999999</v>
          </cell>
        </row>
        <row r="15">
          <cell r="H15">
            <v>207.72499999999999</v>
          </cell>
        </row>
        <row r="23">
          <cell r="H23">
            <v>2164.5166340000001</v>
          </cell>
        </row>
        <row r="76">
          <cell r="H76">
            <v>2289.4246959999996</v>
          </cell>
        </row>
        <row r="78">
          <cell r="H78">
            <v>0.16500000000000001</v>
          </cell>
        </row>
        <row r="79">
          <cell r="H79">
            <v>1.0880000000000001</v>
          </cell>
        </row>
        <row r="80">
          <cell r="H80">
            <v>1.0880000000000001</v>
          </cell>
        </row>
        <row r="88">
          <cell r="H88">
            <v>20.942</v>
          </cell>
        </row>
        <row r="89">
          <cell r="H89">
            <v>4.0500000000000007</v>
          </cell>
        </row>
      </sheetData>
      <sheetData sheetId="5">
        <row r="7">
          <cell r="H7">
            <v>8337</v>
          </cell>
        </row>
        <row r="11">
          <cell r="H11">
            <v>565.64703699999995</v>
          </cell>
        </row>
        <row r="14">
          <cell r="H14">
            <v>5097.5491200000006</v>
          </cell>
        </row>
        <row r="15">
          <cell r="H15">
            <v>1536.0648310000001</v>
          </cell>
        </row>
        <row r="23">
          <cell r="H23">
            <v>2577.4731690000003</v>
          </cell>
        </row>
        <row r="76">
          <cell r="H76">
            <v>2651.1978429999999</v>
          </cell>
        </row>
        <row r="78">
          <cell r="H78">
            <v>0</v>
          </cell>
        </row>
        <row r="79">
          <cell r="H79">
            <v>1.1020000000000001</v>
          </cell>
        </row>
        <row r="80">
          <cell r="H80">
            <v>1.046</v>
          </cell>
        </row>
        <row r="81">
          <cell r="H81">
            <v>0</v>
          </cell>
        </row>
        <row r="82">
          <cell r="H82">
            <v>0</v>
          </cell>
        </row>
        <row r="88">
          <cell r="H88">
            <v>13.978</v>
          </cell>
        </row>
        <row r="89">
          <cell r="H89">
            <v>6.48</v>
          </cell>
        </row>
      </sheetData>
      <sheetData sheetId="6">
        <row r="77">
          <cell r="G77">
            <v>96.09</v>
          </cell>
        </row>
      </sheetData>
      <sheetData sheetId="7">
        <row r="77">
          <cell r="G77">
            <v>82.753999999999991</v>
          </cell>
        </row>
      </sheetData>
      <sheetData sheetId="8">
        <row r="212">
          <cell r="E212">
            <v>30475456.800000001</v>
          </cell>
        </row>
      </sheetData>
      <sheetData sheetId="9">
        <row r="212">
          <cell r="E212">
            <v>37441353.850000001</v>
          </cell>
        </row>
      </sheetData>
      <sheetData sheetId="10">
        <row r="7">
          <cell r="F7">
            <v>958.56704999999999</v>
          </cell>
        </row>
      </sheetData>
      <sheetData sheetId="11"/>
      <sheetData sheetId="12">
        <row r="7">
          <cell r="F7">
            <v>545.59699999999998</v>
          </cell>
        </row>
      </sheetData>
      <sheetData sheetId="13"/>
      <sheetData sheetId="14">
        <row r="7">
          <cell r="F7">
            <v>602.49400000000003</v>
          </cell>
        </row>
      </sheetData>
      <sheetData sheetId="15"/>
      <sheetData sheetId="16">
        <row r="7">
          <cell r="F7">
            <v>544.12699999999995</v>
          </cell>
        </row>
      </sheetData>
      <sheetData sheetId="17"/>
      <sheetData sheetId="18">
        <row r="7">
          <cell r="F7">
            <v>406.68700000000001</v>
          </cell>
        </row>
      </sheetData>
      <sheetData sheetId="19"/>
      <sheetData sheetId="20">
        <row r="7">
          <cell r="F7">
            <v>162.91800000000001</v>
          </cell>
        </row>
      </sheetData>
      <sheetData sheetId="21"/>
      <sheetData sheetId="22">
        <row r="7">
          <cell r="F7">
            <v>0</v>
          </cell>
        </row>
      </sheetData>
      <sheetData sheetId="23"/>
      <sheetData sheetId="24">
        <row r="7">
          <cell r="F7">
            <v>220.15299999999999</v>
          </cell>
        </row>
      </sheetData>
      <sheetData sheetId="25"/>
      <sheetData sheetId="26">
        <row r="7">
          <cell r="F7">
            <v>298.87599999999998</v>
          </cell>
        </row>
      </sheetData>
      <sheetData sheetId="27"/>
      <sheetData sheetId="28">
        <row r="7">
          <cell r="F7">
            <v>435.76799999999997</v>
          </cell>
        </row>
      </sheetData>
      <sheetData sheetId="29"/>
      <sheetData sheetId="30">
        <row r="7">
          <cell r="F7">
            <v>548.87900000000002</v>
          </cell>
        </row>
      </sheetData>
      <sheetData sheetId="31"/>
      <sheetData sheetId="32">
        <row r="7">
          <cell r="F7">
            <v>618.88300000000004</v>
          </cell>
        </row>
      </sheetData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за 1 п.г05 "/>
      <sheetName val="ГОД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 refreshError="1"/>
      <sheetData sheetId="1" refreshError="1"/>
      <sheetData sheetId="2">
        <row r="7">
          <cell r="F7">
            <v>70981.399999999994</v>
          </cell>
        </row>
        <row r="19">
          <cell r="G19">
            <v>2088.8249999999998</v>
          </cell>
        </row>
        <row r="76">
          <cell r="H76">
            <v>109732.63163600001</v>
          </cell>
        </row>
      </sheetData>
      <sheetData sheetId="3" refreshError="1"/>
      <sheetData sheetId="4">
        <row r="7">
          <cell r="H7">
            <v>58500</v>
          </cell>
        </row>
        <row r="8">
          <cell r="H8">
            <v>58.6</v>
          </cell>
        </row>
        <row r="10">
          <cell r="H10">
            <v>93551</v>
          </cell>
        </row>
        <row r="11">
          <cell r="H11">
            <v>20662.562590000001</v>
          </cell>
        </row>
        <row r="14">
          <cell r="H14">
            <v>57079.813000000002</v>
          </cell>
        </row>
        <row r="15">
          <cell r="H15">
            <v>23881.514000000003</v>
          </cell>
        </row>
        <row r="23">
          <cell r="H23">
            <v>30889.873</v>
          </cell>
        </row>
        <row r="76">
          <cell r="H76">
            <v>52435.346256000004</v>
          </cell>
        </row>
        <row r="78">
          <cell r="H78">
            <v>1090.2751539999999</v>
          </cell>
        </row>
        <row r="79">
          <cell r="H79">
            <v>1489.7359999999999</v>
          </cell>
        </row>
        <row r="80">
          <cell r="H80">
            <v>2000.8850000000007</v>
          </cell>
        </row>
        <row r="82">
          <cell r="H82">
            <v>41.463000000000001</v>
          </cell>
        </row>
        <row r="83">
          <cell r="H83">
            <v>28.959</v>
          </cell>
        </row>
        <row r="84">
          <cell r="H84">
            <v>446</v>
          </cell>
        </row>
        <row r="85">
          <cell r="H85">
            <v>145</v>
          </cell>
        </row>
        <row r="86">
          <cell r="H86">
            <v>3772</v>
          </cell>
        </row>
        <row r="88">
          <cell r="H88">
            <v>12800.360000000002</v>
          </cell>
        </row>
      </sheetData>
      <sheetData sheetId="5">
        <row r="7">
          <cell r="H7">
            <v>62067</v>
          </cell>
        </row>
        <row r="8">
          <cell r="H8">
            <v>43</v>
          </cell>
        </row>
        <row r="10">
          <cell r="H10">
            <v>105486</v>
          </cell>
        </row>
        <row r="11">
          <cell r="H11">
            <v>25832.546438000001</v>
          </cell>
        </row>
        <row r="14">
          <cell r="H14">
            <v>64306.206999999995</v>
          </cell>
        </row>
        <row r="15">
          <cell r="H15">
            <v>28885.000108</v>
          </cell>
        </row>
        <row r="23">
          <cell r="H23">
            <v>33328.743891999999</v>
          </cell>
        </row>
        <row r="76">
          <cell r="H76">
            <v>57297.285380000001</v>
          </cell>
        </row>
        <row r="78">
          <cell r="H78">
            <v>1304.017182</v>
          </cell>
        </row>
        <row r="79">
          <cell r="H79">
            <v>1389.646</v>
          </cell>
        </row>
        <row r="80">
          <cell r="H80">
            <v>2328.2820000000002</v>
          </cell>
        </row>
        <row r="82">
          <cell r="H82">
            <v>43.893999999999991</v>
          </cell>
        </row>
        <row r="83">
          <cell r="H83">
            <v>26.913999999999998</v>
          </cell>
        </row>
        <row r="84">
          <cell r="H84">
            <v>614</v>
          </cell>
        </row>
        <row r="85">
          <cell r="H85">
            <v>91</v>
          </cell>
        </row>
        <row r="86">
          <cell r="H86">
            <v>3932</v>
          </cell>
        </row>
        <row r="88">
          <cell r="H88">
            <v>10344.208000000001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  <sheetName val="объемы подогрев"/>
    </sheetNames>
    <sheetDataSet>
      <sheetData sheetId="0">
        <row r="98">
          <cell r="C98" t="str">
            <v>Технологич. присоединение к электр. сетям</v>
          </cell>
        </row>
      </sheetData>
      <sheetData sheetId="1">
        <row r="7">
          <cell r="F7">
            <v>4468.2852929999999</v>
          </cell>
        </row>
        <row r="19">
          <cell r="G19">
            <v>50.88000000000001</v>
          </cell>
        </row>
        <row r="78">
          <cell r="H78">
            <v>2.0840000000000001</v>
          </cell>
        </row>
        <row r="79">
          <cell r="H79">
            <v>9.2839999999999989</v>
          </cell>
        </row>
        <row r="80">
          <cell r="H80">
            <v>754.12900000000013</v>
          </cell>
        </row>
        <row r="81">
          <cell r="H81">
            <v>124.11000000000001</v>
          </cell>
        </row>
        <row r="82">
          <cell r="H82">
            <v>9.370000000000001</v>
          </cell>
        </row>
        <row r="83">
          <cell r="H83">
            <v>2.081</v>
          </cell>
        </row>
        <row r="88">
          <cell r="H88">
            <v>41.033000000000001</v>
          </cell>
        </row>
      </sheetData>
      <sheetData sheetId="2"/>
      <sheetData sheetId="3"/>
      <sheetData sheetId="4">
        <row r="7">
          <cell r="H7">
            <v>12698.36</v>
          </cell>
        </row>
        <row r="8">
          <cell r="H8">
            <v>1.8040000000000003</v>
          </cell>
        </row>
        <row r="11">
          <cell r="H11">
            <v>5854.673882</v>
          </cell>
        </row>
        <row r="14">
          <cell r="H14">
            <v>2217.7604019999999</v>
          </cell>
        </row>
        <row r="15">
          <cell r="H15">
            <v>383.45312899999999</v>
          </cell>
        </row>
        <row r="23">
          <cell r="H23">
            <v>1830.3467179999998</v>
          </cell>
        </row>
        <row r="76">
          <cell r="H76">
            <v>4254.7337159999997</v>
          </cell>
        </row>
        <row r="78">
          <cell r="H78">
            <v>1.21</v>
          </cell>
        </row>
        <row r="79">
          <cell r="H79">
            <v>4.8100000000000005</v>
          </cell>
        </row>
        <row r="80">
          <cell r="H80">
            <v>276.19799999999998</v>
          </cell>
        </row>
        <row r="81">
          <cell r="H81">
            <v>62.378</v>
          </cell>
        </row>
        <row r="82">
          <cell r="H82">
            <v>4.3790000000000004</v>
          </cell>
        </row>
        <row r="83">
          <cell r="H83">
            <v>1.21</v>
          </cell>
        </row>
        <row r="88">
          <cell r="H88">
            <v>19.202999999999999</v>
          </cell>
        </row>
      </sheetData>
      <sheetData sheetId="5">
        <row r="7">
          <cell r="H7">
            <v>18612</v>
          </cell>
        </row>
        <row r="8">
          <cell r="H8">
            <v>3.7159999999999997</v>
          </cell>
        </row>
        <row r="11">
          <cell r="H11">
            <v>5311.6828859999987</v>
          </cell>
        </row>
        <row r="14">
          <cell r="H14">
            <v>8145.1922029999996</v>
          </cell>
        </row>
        <row r="15">
          <cell r="H15">
            <v>5509.641114</v>
          </cell>
        </row>
        <row r="23">
          <cell r="H23">
            <v>2627.6221999999998</v>
          </cell>
        </row>
        <row r="76">
          <cell r="H76">
            <v>4578.705911</v>
          </cell>
        </row>
        <row r="78">
          <cell r="H78">
            <v>0.874</v>
          </cell>
        </row>
        <row r="79">
          <cell r="H79">
            <v>4.4739999999999993</v>
          </cell>
        </row>
        <row r="80">
          <cell r="H80">
            <v>477.93099999999998</v>
          </cell>
        </row>
        <row r="81">
          <cell r="H81">
            <v>61.731999999999999</v>
          </cell>
        </row>
        <row r="82">
          <cell r="H82">
            <v>4.9909999999999997</v>
          </cell>
        </row>
        <row r="83">
          <cell r="H83">
            <v>0.871</v>
          </cell>
        </row>
        <row r="88">
          <cell r="H88">
            <v>21.830000000000002</v>
          </cell>
        </row>
      </sheetData>
      <sheetData sheetId="6">
        <row r="77">
          <cell r="G77">
            <v>57.317999999999998</v>
          </cell>
        </row>
      </sheetData>
      <sheetData sheetId="7">
        <row r="77">
          <cell r="G77">
            <v>33.050999999999995</v>
          </cell>
        </row>
      </sheetData>
      <sheetData sheetId="8">
        <row r="77">
          <cell r="G77">
            <v>57.116</v>
          </cell>
        </row>
      </sheetData>
      <sheetData sheetId="9">
        <row r="77">
          <cell r="G77">
            <v>70.162999999999997</v>
          </cell>
        </row>
      </sheetData>
      <sheetData sheetId="10">
        <row r="7">
          <cell r="F7">
            <v>698.05629299999998</v>
          </cell>
        </row>
      </sheetData>
      <sheetData sheetId="11"/>
      <sheetData sheetId="12">
        <row r="7">
          <cell r="F7">
            <v>455.96</v>
          </cell>
        </row>
      </sheetData>
      <sheetData sheetId="13"/>
      <sheetData sheetId="14">
        <row r="7">
          <cell r="F7">
            <v>554.33000000000004</v>
          </cell>
        </row>
      </sheetData>
      <sheetData sheetId="15"/>
      <sheetData sheetId="16">
        <row r="7">
          <cell r="F7">
            <v>490.00299999999999</v>
          </cell>
        </row>
      </sheetData>
      <sheetData sheetId="17"/>
      <sheetData sheetId="18">
        <row r="7">
          <cell r="F7">
            <v>349.93400000000003</v>
          </cell>
        </row>
      </sheetData>
      <sheetData sheetId="19"/>
      <sheetData sheetId="20">
        <row r="7">
          <cell r="F7">
            <v>154.267</v>
          </cell>
        </row>
      </sheetData>
      <sheetData sheetId="21"/>
      <sheetData sheetId="22">
        <row r="7">
          <cell r="F7">
            <v>0</v>
          </cell>
        </row>
      </sheetData>
      <sheetData sheetId="23"/>
      <sheetData sheetId="24">
        <row r="7">
          <cell r="F7">
            <v>30.393999999999998</v>
          </cell>
        </row>
      </sheetData>
      <sheetData sheetId="25"/>
      <sheetData sheetId="26">
        <row r="7">
          <cell r="F7">
            <v>255.67400000000001</v>
          </cell>
        </row>
      </sheetData>
      <sheetData sheetId="27"/>
      <sheetData sheetId="28">
        <row r="7">
          <cell r="F7">
            <v>417.387</v>
          </cell>
        </row>
      </sheetData>
      <sheetData sheetId="29"/>
      <sheetData sheetId="30">
        <row r="7">
          <cell r="F7">
            <v>473.21600000000001</v>
          </cell>
        </row>
      </sheetData>
      <sheetData sheetId="31"/>
      <sheetData sheetId="32">
        <row r="7">
          <cell r="F7">
            <v>589.06399999999996</v>
          </cell>
        </row>
      </sheetData>
      <sheetData sheetId="33"/>
      <sheetData sheetId="3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>
        <row r="3">
          <cell r="B3" t="str">
            <v>Факт,  ГОД, 2019</v>
          </cell>
        </row>
        <row r="19">
          <cell r="G19">
            <v>722.70499999999993</v>
          </cell>
        </row>
        <row r="78">
          <cell r="H78">
            <v>228.51899999999995</v>
          </cell>
        </row>
        <row r="79">
          <cell r="H79">
            <v>3430.6439999999998</v>
          </cell>
        </row>
        <row r="80">
          <cell r="H80">
            <v>2402.2320000000004</v>
          </cell>
        </row>
        <row r="81">
          <cell r="H81">
            <v>5.2260000000000009</v>
          </cell>
        </row>
        <row r="82">
          <cell r="H82">
            <v>194.58499999999998</v>
          </cell>
        </row>
        <row r="83">
          <cell r="H83">
            <v>6.9729999999999999</v>
          </cell>
        </row>
        <row r="86">
          <cell r="H86">
            <v>27.702999999999999</v>
          </cell>
        </row>
        <row r="88">
          <cell r="H88">
            <v>1829.6612999999998</v>
          </cell>
        </row>
        <row r="89">
          <cell r="H89">
            <v>3.4690000000000003</v>
          </cell>
        </row>
      </sheetData>
      <sheetData sheetId="2"/>
      <sheetData sheetId="3">
        <row r="3">
          <cell r="B3" t="str">
            <v>Факт,  9 МЕСЯЦЕВ, 2019</v>
          </cell>
        </row>
      </sheetData>
      <sheetData sheetId="4">
        <row r="7">
          <cell r="H7">
            <v>86607.223181999987</v>
          </cell>
        </row>
        <row r="8">
          <cell r="H8">
            <v>258.51400000000001</v>
          </cell>
        </row>
        <row r="11">
          <cell r="H11">
            <v>5592.5280570000004</v>
          </cell>
        </row>
        <row r="14">
          <cell r="H14">
            <v>51380.907725999998</v>
          </cell>
        </row>
        <row r="15">
          <cell r="H15">
            <v>26207</v>
          </cell>
        </row>
        <row r="23">
          <cell r="H23">
            <v>23215.204726</v>
          </cell>
        </row>
        <row r="76">
          <cell r="H76">
            <v>25818.401398999998</v>
          </cell>
        </row>
        <row r="78">
          <cell r="H78">
            <v>113.261</v>
          </cell>
        </row>
        <row r="79">
          <cell r="H79">
            <v>1513.45</v>
          </cell>
        </row>
        <row r="80">
          <cell r="H80">
            <v>883.10599999999988</v>
          </cell>
        </row>
        <row r="81">
          <cell r="H81">
            <v>1.323</v>
          </cell>
        </row>
        <row r="82">
          <cell r="H82">
            <v>85.775000000000006</v>
          </cell>
        </row>
        <row r="83">
          <cell r="H83">
            <v>4.0589999999999993</v>
          </cell>
        </row>
        <row r="86">
          <cell r="H86">
            <v>10.587</v>
          </cell>
        </row>
        <row r="88">
          <cell r="H88">
            <v>942.80399999999986</v>
          </cell>
        </row>
        <row r="89">
          <cell r="H89">
            <v>2.5069999999999997</v>
          </cell>
        </row>
      </sheetData>
      <sheetData sheetId="5">
        <row r="3">
          <cell r="B3" t="str">
            <v>Факт,  1 ПОЛУГОДИЕ, 2019</v>
          </cell>
        </row>
        <row r="7">
          <cell r="H7">
            <v>58157.714270999997</v>
          </cell>
        </row>
        <row r="8">
          <cell r="H8">
            <v>6.5299999999999994</v>
          </cell>
        </row>
        <row r="11">
          <cell r="H11">
            <v>1803.1379999999999</v>
          </cell>
        </row>
        <row r="14">
          <cell r="H14">
            <v>26801.801216</v>
          </cell>
        </row>
        <row r="15">
          <cell r="H15">
            <v>275.5</v>
          </cell>
        </row>
        <row r="23">
          <cell r="H23">
            <v>25183.950215999997</v>
          </cell>
        </row>
        <row r="76">
          <cell r="H76">
            <v>24974.104755</v>
          </cell>
        </row>
        <row r="78">
          <cell r="H78">
            <v>115.258</v>
          </cell>
        </row>
        <row r="79">
          <cell r="H79">
            <v>1917.194</v>
          </cell>
        </row>
        <row r="80">
          <cell r="H80">
            <v>1519.1260000000002</v>
          </cell>
        </row>
        <row r="81">
          <cell r="H81">
            <v>3.903</v>
          </cell>
        </row>
        <row r="82">
          <cell r="H82">
            <v>108.81</v>
          </cell>
        </row>
        <row r="83">
          <cell r="H83">
            <v>2.9139999999999997</v>
          </cell>
        </row>
        <row r="86">
          <cell r="H86">
            <v>17.116</v>
          </cell>
        </row>
        <row r="88">
          <cell r="H88">
            <v>886.85730000000001</v>
          </cell>
        </row>
        <row r="89">
          <cell r="H89">
            <v>0.96199999999999997</v>
          </cell>
        </row>
      </sheetData>
      <sheetData sheetId="6">
        <row r="3">
          <cell r="B3" t="str">
            <v>Факт,  4 КВАРТАЛ, 2019</v>
          </cell>
        </row>
      </sheetData>
      <sheetData sheetId="7">
        <row r="3">
          <cell r="B3" t="str">
            <v>Факт,  3 КВАРТАЛ, 2019</v>
          </cell>
        </row>
      </sheetData>
      <sheetData sheetId="8">
        <row r="3">
          <cell r="B3" t="str">
            <v>Факт,  2 КВАРТАЛ, 2019</v>
          </cell>
        </row>
      </sheetData>
      <sheetData sheetId="9">
        <row r="3">
          <cell r="B3" t="str">
            <v>Факт,  1 КВАРТАЛ, 2019</v>
          </cell>
        </row>
      </sheetData>
      <sheetData sheetId="10">
        <row r="3">
          <cell r="B3" t="str">
            <v>Факт,  ЯНВАРЬ, 2019</v>
          </cell>
        </row>
      </sheetData>
      <sheetData sheetId="11"/>
      <sheetData sheetId="12">
        <row r="3">
          <cell r="B3" t="str">
            <v>Факт,  ФЕВРАЛЬ, 2019</v>
          </cell>
        </row>
      </sheetData>
      <sheetData sheetId="13"/>
      <sheetData sheetId="14">
        <row r="3">
          <cell r="B3" t="str">
            <v>Факт,  МАРТ, 2019</v>
          </cell>
        </row>
      </sheetData>
      <sheetData sheetId="15"/>
      <sheetData sheetId="16">
        <row r="3">
          <cell r="B3" t="str">
            <v>Факт,  АПРЕЛЬ, 2019</v>
          </cell>
        </row>
      </sheetData>
      <sheetData sheetId="17"/>
      <sheetData sheetId="18">
        <row r="3">
          <cell r="B3" t="str">
            <v>Факт,  МАЙ, 2019</v>
          </cell>
        </row>
      </sheetData>
      <sheetData sheetId="19"/>
      <sheetData sheetId="20">
        <row r="3">
          <cell r="B3" t="str">
            <v>Факт,  ИЮНЬ, 2019</v>
          </cell>
        </row>
      </sheetData>
      <sheetData sheetId="21"/>
      <sheetData sheetId="22">
        <row r="3">
          <cell r="B3" t="str">
            <v>Факт,  ИЮЛЬ, 2019</v>
          </cell>
        </row>
      </sheetData>
      <sheetData sheetId="23"/>
      <sheetData sheetId="24">
        <row r="3">
          <cell r="B3" t="str">
            <v>Факт,  АВГУСТ, 2019</v>
          </cell>
        </row>
      </sheetData>
      <sheetData sheetId="25"/>
      <sheetData sheetId="26">
        <row r="3">
          <cell r="B3" t="str">
            <v>Факт,  СЕНТЯБРЬ, 2019</v>
          </cell>
        </row>
      </sheetData>
      <sheetData sheetId="27"/>
      <sheetData sheetId="28">
        <row r="3">
          <cell r="B3" t="str">
            <v>Факт,  ОКТЯБРЬ, 2019</v>
          </cell>
        </row>
      </sheetData>
      <sheetData sheetId="29"/>
      <sheetData sheetId="30">
        <row r="3">
          <cell r="B3" t="str">
            <v>Факт,  НОЯБРЬ, 2019</v>
          </cell>
        </row>
      </sheetData>
      <sheetData sheetId="31"/>
      <sheetData sheetId="32">
        <row r="7">
          <cell r="F7">
            <v>6048.5039999999999</v>
          </cell>
        </row>
      </sheetData>
      <sheetData sheetId="3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за 1 п.г05 "/>
      <sheetName val="ГОД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  <sheetName val="объемы подогрев"/>
    </sheetNames>
    <sheetDataSet>
      <sheetData sheetId="0"/>
      <sheetData sheetId="1"/>
      <sheetData sheetId="2">
        <row r="7">
          <cell r="F7">
            <v>10872.976998999999</v>
          </cell>
        </row>
        <row r="19">
          <cell r="G19">
            <v>238.58</v>
          </cell>
        </row>
      </sheetData>
      <sheetData sheetId="3"/>
      <sheetData sheetId="4">
        <row r="7">
          <cell r="H7">
            <v>10642</v>
          </cell>
        </row>
        <row r="11">
          <cell r="H11">
            <v>1604.759544</v>
          </cell>
        </row>
        <row r="14">
          <cell r="H14">
            <v>531.469067</v>
          </cell>
        </row>
        <row r="23">
          <cell r="H23">
            <v>480.44406699999996</v>
          </cell>
        </row>
        <row r="76">
          <cell r="H76">
            <v>7712.850139000001</v>
          </cell>
        </row>
        <row r="78">
          <cell r="H78">
            <v>0.96000000000000008</v>
          </cell>
        </row>
        <row r="79">
          <cell r="H79">
            <v>87</v>
          </cell>
        </row>
        <row r="80">
          <cell r="H80">
            <v>384.92524999999995</v>
          </cell>
        </row>
        <row r="82">
          <cell r="H82">
            <v>9.6</v>
          </cell>
        </row>
        <row r="88">
          <cell r="H88">
            <v>310.43599999999998</v>
          </cell>
        </row>
      </sheetData>
      <sheetData sheetId="5">
        <row r="7">
          <cell r="H7">
            <v>9077.2999999999993</v>
          </cell>
        </row>
        <row r="11">
          <cell r="H11">
            <v>-1276.843631</v>
          </cell>
        </row>
        <row r="14">
          <cell r="H14">
            <v>1668.244999</v>
          </cell>
        </row>
        <row r="15">
          <cell r="H15">
            <v>884.72100000000012</v>
          </cell>
        </row>
        <row r="23">
          <cell r="H23">
            <v>733.04999900000007</v>
          </cell>
        </row>
        <row r="76">
          <cell r="H76">
            <v>7740.7038319999992</v>
          </cell>
        </row>
        <row r="78">
          <cell r="H78">
            <v>0.96000000000000008</v>
          </cell>
        </row>
        <row r="79">
          <cell r="H79">
            <v>87</v>
          </cell>
        </row>
        <row r="80">
          <cell r="H80">
            <v>539.86979999999994</v>
          </cell>
        </row>
        <row r="82">
          <cell r="H82">
            <v>9.6</v>
          </cell>
        </row>
        <row r="88">
          <cell r="H88">
            <v>307.76499999999999</v>
          </cell>
        </row>
      </sheetData>
      <sheetData sheetId="6">
        <row r="77">
          <cell r="G77">
            <v>59.372999999999998</v>
          </cell>
        </row>
      </sheetData>
      <sheetData sheetId="7">
        <row r="77">
          <cell r="G77">
            <v>48.652000000000001</v>
          </cell>
        </row>
      </sheetData>
      <sheetData sheetId="8">
        <row r="77">
          <cell r="G77">
            <v>47.518000000000001</v>
          </cell>
        </row>
      </sheetData>
      <sheetData sheetId="9">
        <row r="77">
          <cell r="G77">
            <v>52.143999999999998</v>
          </cell>
        </row>
      </sheetData>
      <sheetData sheetId="10">
        <row r="7">
          <cell r="F7">
            <v>1771.9529990000001</v>
          </cell>
        </row>
      </sheetData>
      <sheetData sheetId="11"/>
      <sheetData sheetId="12">
        <row r="7">
          <cell r="F7">
            <v>1206.172</v>
          </cell>
        </row>
      </sheetData>
      <sheetData sheetId="13"/>
      <sheetData sheetId="14">
        <row r="7">
          <cell r="F7">
            <v>1563.25</v>
          </cell>
        </row>
      </sheetData>
      <sheetData sheetId="15"/>
      <sheetData sheetId="16">
        <row r="7">
          <cell r="F7">
            <v>1243.973</v>
          </cell>
        </row>
      </sheetData>
      <sheetData sheetId="17"/>
      <sheetData sheetId="18">
        <row r="7">
          <cell r="F7">
            <v>902.423</v>
          </cell>
        </row>
      </sheetData>
      <sheetData sheetId="19"/>
      <sheetData sheetId="20">
        <row r="7">
          <cell r="F7">
            <v>339.39</v>
          </cell>
        </row>
      </sheetData>
      <sheetData sheetId="21"/>
      <sheetData sheetId="22">
        <row r="7">
          <cell r="F7">
            <v>0</v>
          </cell>
        </row>
      </sheetData>
      <sheetData sheetId="23"/>
      <sheetData sheetId="24">
        <row r="7">
          <cell r="F7">
            <v>0</v>
          </cell>
        </row>
      </sheetData>
      <sheetData sheetId="25"/>
      <sheetData sheetId="26">
        <row r="7">
          <cell r="F7">
            <v>450.80099999999999</v>
          </cell>
        </row>
      </sheetData>
      <sheetData sheetId="27"/>
      <sheetData sheetId="28">
        <row r="7">
          <cell r="F7">
            <v>798.1</v>
          </cell>
        </row>
      </sheetData>
      <sheetData sheetId="29"/>
      <sheetData sheetId="30">
        <row r="7">
          <cell r="F7">
            <v>1252.319</v>
          </cell>
        </row>
      </sheetData>
      <sheetData sheetId="31"/>
      <sheetData sheetId="32">
        <row r="7">
          <cell r="F7">
            <v>1344.596</v>
          </cell>
        </row>
      </sheetData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  <sheetName val="подогрев объемы"/>
    </sheetNames>
    <sheetDataSet>
      <sheetData sheetId="0"/>
      <sheetData sheetId="1">
        <row r="7">
          <cell r="F7">
            <v>5064.6499999999996</v>
          </cell>
        </row>
        <row r="19">
          <cell r="G19">
            <v>89.569000000000017</v>
          </cell>
        </row>
        <row r="78">
          <cell r="H78">
            <v>4.5339999999999989</v>
          </cell>
        </row>
        <row r="79">
          <cell r="H79">
            <v>102.38300000000001</v>
          </cell>
        </row>
        <row r="80">
          <cell r="H80">
            <v>304.62949999999995</v>
          </cell>
        </row>
        <row r="81">
          <cell r="H81">
            <v>3.452</v>
          </cell>
        </row>
        <row r="82">
          <cell r="H82">
            <v>19.2</v>
          </cell>
        </row>
        <row r="83">
          <cell r="H83">
            <v>8.3000000000000007</v>
          </cell>
        </row>
        <row r="88">
          <cell r="H88">
            <v>328.86800000000005</v>
          </cell>
        </row>
      </sheetData>
      <sheetData sheetId="2"/>
      <sheetData sheetId="3"/>
      <sheetData sheetId="4">
        <row r="7">
          <cell r="H7">
            <v>7003.4730970000001</v>
          </cell>
        </row>
        <row r="11">
          <cell r="H11">
            <v>170.81599999999997</v>
          </cell>
        </row>
        <row r="14">
          <cell r="H14">
            <v>1358.6161940000002</v>
          </cell>
        </row>
        <row r="15">
          <cell r="H15">
            <v>217.91499999999999</v>
          </cell>
        </row>
        <row r="23">
          <cell r="H23">
            <v>1101.997194</v>
          </cell>
        </row>
        <row r="76">
          <cell r="H76">
            <v>5107.2529029999996</v>
          </cell>
        </row>
        <row r="78">
          <cell r="H78">
            <v>3.5160000000000005</v>
          </cell>
        </row>
        <row r="79">
          <cell r="H79">
            <v>34.755000000000003</v>
          </cell>
        </row>
        <row r="80">
          <cell r="H80">
            <v>142.84099999999998</v>
          </cell>
        </row>
        <row r="81">
          <cell r="H81">
            <v>2.395</v>
          </cell>
        </row>
        <row r="82">
          <cell r="H82">
            <v>9.6</v>
          </cell>
        </row>
        <row r="83">
          <cell r="H83">
            <v>3.3</v>
          </cell>
        </row>
        <row r="88">
          <cell r="H88">
            <v>170.381</v>
          </cell>
        </row>
      </sheetData>
      <sheetData sheetId="5">
        <row r="7">
          <cell r="H7">
            <v>6926.6744929999986</v>
          </cell>
        </row>
        <row r="11">
          <cell r="H11">
            <v>168.94300000000001</v>
          </cell>
        </row>
        <row r="14">
          <cell r="H14">
            <v>1249.581187</v>
          </cell>
        </row>
        <row r="15">
          <cell r="H15">
            <v>261.49799999999999</v>
          </cell>
        </row>
        <row r="23">
          <cell r="H23">
            <v>971.90118699999994</v>
          </cell>
        </row>
        <row r="76">
          <cell r="H76">
            <v>5103.5718059999999</v>
          </cell>
        </row>
        <row r="78">
          <cell r="H78">
            <v>1.018</v>
          </cell>
        </row>
        <row r="79">
          <cell r="H79">
            <v>67.628</v>
          </cell>
        </row>
        <row r="80">
          <cell r="H80">
            <v>161.7885</v>
          </cell>
        </row>
        <row r="81">
          <cell r="H81">
            <v>1.0570000000000002</v>
          </cell>
        </row>
        <row r="82">
          <cell r="H82">
            <v>9.6</v>
          </cell>
        </row>
        <row r="83">
          <cell r="H83">
            <v>5</v>
          </cell>
        </row>
        <row r="88">
          <cell r="H88">
            <v>158.48700000000002</v>
          </cell>
        </row>
      </sheetData>
      <sheetData sheetId="6">
        <row r="77">
          <cell r="G77">
            <v>99.978999999999999</v>
          </cell>
        </row>
      </sheetData>
      <sheetData sheetId="7">
        <row r="77">
          <cell r="G77">
            <v>58.034999999999997</v>
          </cell>
        </row>
      </sheetData>
      <sheetData sheetId="8">
        <row r="77">
          <cell r="G77">
            <v>75.705999999999989</v>
          </cell>
        </row>
      </sheetData>
      <sheetData sheetId="9">
        <row r="77">
          <cell r="G77">
            <v>89.007999999999996</v>
          </cell>
        </row>
      </sheetData>
      <sheetData sheetId="10">
        <row r="7">
          <cell r="F7">
            <v>881.05</v>
          </cell>
        </row>
      </sheetData>
      <sheetData sheetId="11"/>
      <sheetData sheetId="12">
        <row r="7">
          <cell r="F7">
            <v>548.36099999999999</v>
          </cell>
        </row>
      </sheetData>
      <sheetData sheetId="13"/>
      <sheetData sheetId="14">
        <row r="7">
          <cell r="F7">
            <v>671.63099999999997</v>
          </cell>
        </row>
      </sheetData>
      <sheetData sheetId="15"/>
      <sheetData sheetId="16">
        <row r="7">
          <cell r="F7">
            <v>527.32600000000002</v>
          </cell>
        </row>
      </sheetData>
      <sheetData sheetId="17"/>
      <sheetData sheetId="18">
        <row r="7">
          <cell r="F7">
            <v>339.07</v>
          </cell>
        </row>
      </sheetData>
      <sheetData sheetId="19"/>
      <sheetData sheetId="20">
        <row r="7">
          <cell r="F7">
            <v>154.76900000000001</v>
          </cell>
        </row>
      </sheetData>
      <sheetData sheetId="21"/>
      <sheetData sheetId="22">
        <row r="7">
          <cell r="F7">
            <v>10.724</v>
          </cell>
        </row>
      </sheetData>
      <sheetData sheetId="23"/>
      <sheetData sheetId="24">
        <row r="7">
          <cell r="F7">
            <v>13.481</v>
          </cell>
        </row>
      </sheetData>
      <sheetData sheetId="25"/>
      <sheetData sheetId="26">
        <row r="7">
          <cell r="F7">
            <v>279.21800000000002</v>
          </cell>
        </row>
      </sheetData>
      <sheetData sheetId="27"/>
      <sheetData sheetId="28">
        <row r="7">
          <cell r="F7">
            <v>482.03500000000003</v>
          </cell>
        </row>
      </sheetData>
      <sheetData sheetId="29"/>
      <sheetData sheetId="30">
        <row r="7">
          <cell r="F7">
            <v>495.93</v>
          </cell>
        </row>
      </sheetData>
      <sheetData sheetId="31"/>
      <sheetData sheetId="32">
        <row r="7">
          <cell r="F7">
            <v>661.05499999999995</v>
          </cell>
        </row>
      </sheetData>
      <sheetData sheetId="33"/>
      <sheetData sheetId="3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>
        <row r="7">
          <cell r="F7">
            <v>5887.8119999999999</v>
          </cell>
        </row>
        <row r="19">
          <cell r="G19">
            <v>79.465999999999994</v>
          </cell>
        </row>
        <row r="79">
          <cell r="H79">
            <v>132.39999999999998</v>
          </cell>
        </row>
        <row r="80">
          <cell r="H80">
            <v>574.5</v>
          </cell>
        </row>
        <row r="81">
          <cell r="H81">
            <v>293.09999999999997</v>
          </cell>
        </row>
        <row r="82">
          <cell r="H82">
            <v>39</v>
          </cell>
        </row>
        <row r="88">
          <cell r="H88">
            <v>521.18000000000006</v>
          </cell>
        </row>
      </sheetData>
      <sheetData sheetId="2"/>
      <sheetData sheetId="3"/>
      <sheetData sheetId="4">
        <row r="7">
          <cell r="H7">
            <v>7315.5199999999995</v>
          </cell>
        </row>
        <row r="8">
          <cell r="H8">
            <v>1058.52</v>
          </cell>
        </row>
        <row r="11">
          <cell r="H11">
            <v>112.57999999999998</v>
          </cell>
        </row>
        <row r="14">
          <cell r="H14">
            <v>292.86</v>
          </cell>
        </row>
        <row r="15">
          <cell r="H15">
            <v>101</v>
          </cell>
        </row>
        <row r="76">
          <cell r="H76">
            <v>5023.42</v>
          </cell>
        </row>
        <row r="79">
          <cell r="H79">
            <v>27.8</v>
          </cell>
        </row>
        <row r="80">
          <cell r="H80">
            <v>360.5</v>
          </cell>
        </row>
        <row r="81">
          <cell r="H81">
            <v>172.7</v>
          </cell>
        </row>
        <row r="82">
          <cell r="H82">
            <v>20</v>
          </cell>
        </row>
        <row r="88">
          <cell r="H88">
            <v>247.14</v>
          </cell>
        </row>
      </sheetData>
      <sheetData sheetId="5">
        <row r="7">
          <cell r="H7">
            <v>6927.5069999999996</v>
          </cell>
        </row>
        <row r="8">
          <cell r="H8">
            <v>994.50700000000006</v>
          </cell>
        </row>
        <row r="11">
          <cell r="H11">
            <v>149.935</v>
          </cell>
        </row>
        <row r="14">
          <cell r="H14">
            <v>160.96</v>
          </cell>
        </row>
        <row r="15">
          <cell r="H15">
            <v>92</v>
          </cell>
        </row>
        <row r="76">
          <cell r="H76">
            <v>4890.0649999999996</v>
          </cell>
        </row>
        <row r="79">
          <cell r="H79">
            <v>104.60000000000001</v>
          </cell>
        </row>
        <row r="80">
          <cell r="H80">
            <v>214</v>
          </cell>
        </row>
        <row r="81">
          <cell r="H81">
            <v>120.39999999999999</v>
          </cell>
        </row>
        <row r="82">
          <cell r="H82">
            <v>19</v>
          </cell>
        </row>
        <row r="88">
          <cell r="H88">
            <v>274.04000000000002</v>
          </cell>
        </row>
      </sheetData>
      <sheetData sheetId="6">
        <row r="77">
          <cell r="G77">
            <v>62.530999999999999</v>
          </cell>
        </row>
      </sheetData>
      <sheetData sheetId="7">
        <row r="77">
          <cell r="G77">
            <v>58.225000000000001</v>
          </cell>
        </row>
      </sheetData>
      <sheetData sheetId="8">
        <row r="77">
          <cell r="G77">
            <v>51.966000000000008</v>
          </cell>
        </row>
      </sheetData>
      <sheetData sheetId="9">
        <row r="77">
          <cell r="G77">
            <v>51.638000000000005</v>
          </cell>
        </row>
      </sheetData>
      <sheetData sheetId="10">
        <row r="7">
          <cell r="F7">
            <v>1100.616</v>
          </cell>
        </row>
      </sheetData>
      <sheetData sheetId="11"/>
      <sheetData sheetId="12">
        <row r="7">
          <cell r="F7">
            <v>736.63</v>
          </cell>
        </row>
      </sheetData>
      <sheetData sheetId="13"/>
      <sheetData sheetId="14">
        <row r="7">
          <cell r="F7">
            <v>841.52300000000002</v>
          </cell>
        </row>
      </sheetData>
      <sheetData sheetId="15"/>
      <sheetData sheetId="16">
        <row r="7">
          <cell r="F7">
            <v>584.44600000000003</v>
          </cell>
        </row>
      </sheetData>
      <sheetData sheetId="17"/>
      <sheetData sheetId="18">
        <row r="7">
          <cell r="F7">
            <v>278.86900000000003</v>
          </cell>
        </row>
      </sheetData>
      <sheetData sheetId="19"/>
      <sheetData sheetId="20">
        <row r="7">
          <cell r="F7">
            <v>0</v>
          </cell>
        </row>
      </sheetData>
      <sheetData sheetId="21"/>
      <sheetData sheetId="22">
        <row r="7">
          <cell r="F7">
            <v>0</v>
          </cell>
        </row>
      </sheetData>
      <sheetData sheetId="23"/>
      <sheetData sheetId="24">
        <row r="7">
          <cell r="F7">
            <v>0</v>
          </cell>
        </row>
      </sheetData>
      <sheetData sheetId="25"/>
      <sheetData sheetId="26">
        <row r="7">
          <cell r="F7">
            <v>176.40100000000001</v>
          </cell>
        </row>
      </sheetData>
      <sheetData sheetId="27"/>
      <sheetData sheetId="28">
        <row r="7">
          <cell r="F7">
            <v>612.61199999999997</v>
          </cell>
        </row>
      </sheetData>
      <sheetData sheetId="29"/>
      <sheetData sheetId="30">
        <row r="7">
          <cell r="F7">
            <v>659.00300000000004</v>
          </cell>
        </row>
      </sheetData>
      <sheetData sheetId="31"/>
      <sheetData sheetId="32">
        <row r="7">
          <cell r="F7">
            <v>897.71199999999999</v>
          </cell>
        </row>
      </sheetData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>
        <row r="132">
          <cell r="C132" t="str">
            <v>командировочные, суточные  расходы</v>
          </cell>
        </row>
      </sheetData>
      <sheetData sheetId="1">
        <row r="3">
          <cell r="B3" t="str">
            <v>Факт,  ГОД, 2019</v>
          </cell>
        </row>
        <row r="19">
          <cell r="G19">
            <v>87.38</v>
          </cell>
        </row>
        <row r="78">
          <cell r="H78">
            <v>3</v>
          </cell>
        </row>
        <row r="79">
          <cell r="H79">
            <v>482.47599999999994</v>
          </cell>
        </row>
        <row r="80">
          <cell r="H80">
            <v>1967.1050000000002</v>
          </cell>
        </row>
        <row r="82">
          <cell r="H82">
            <v>157.92500000000001</v>
          </cell>
        </row>
        <row r="83">
          <cell r="H83">
            <v>6.5999999999999988</v>
          </cell>
        </row>
        <row r="88">
          <cell r="H88">
            <v>1439.5450000000001</v>
          </cell>
        </row>
      </sheetData>
      <sheetData sheetId="2"/>
      <sheetData sheetId="3">
        <row r="3">
          <cell r="B3" t="str">
            <v>Факт,  9 МЕСЯЦЕВ, 2019</v>
          </cell>
        </row>
      </sheetData>
      <sheetData sheetId="4">
        <row r="7">
          <cell r="H7">
            <v>22443</v>
          </cell>
        </row>
        <row r="8">
          <cell r="H8">
            <v>29.990000000000002</v>
          </cell>
        </row>
        <row r="11">
          <cell r="H11">
            <v>3631.5656039999999</v>
          </cell>
        </row>
        <row r="14">
          <cell r="H14">
            <v>331.53899999999999</v>
          </cell>
        </row>
        <row r="15">
          <cell r="H15">
            <v>121.3</v>
          </cell>
        </row>
        <row r="76">
          <cell r="H76">
            <v>16411.161396</v>
          </cell>
        </row>
        <row r="78">
          <cell r="H78">
            <v>1.5</v>
          </cell>
        </row>
        <row r="79">
          <cell r="H79">
            <v>255.58199999999999</v>
          </cell>
        </row>
        <row r="80">
          <cell r="H80">
            <v>894.17899999999997</v>
          </cell>
        </row>
        <row r="82">
          <cell r="H82">
            <v>81.548000000000002</v>
          </cell>
        </row>
        <row r="83">
          <cell r="H83">
            <v>3.3</v>
          </cell>
        </row>
        <row r="88">
          <cell r="H88">
            <v>802.63499999999999</v>
          </cell>
        </row>
      </sheetData>
      <sheetData sheetId="5">
        <row r="3">
          <cell r="B3" t="str">
            <v>Факт,  1 ПОЛУГОДИЕ, 2019</v>
          </cell>
        </row>
        <row r="7">
          <cell r="H7">
            <v>25628</v>
          </cell>
        </row>
        <row r="8">
          <cell r="H8">
            <v>41.01</v>
          </cell>
        </row>
        <row r="11">
          <cell r="H11">
            <v>5775.858185</v>
          </cell>
        </row>
        <row r="14">
          <cell r="H14">
            <v>405.84999999999997</v>
          </cell>
        </row>
        <row r="15">
          <cell r="H15">
            <v>263.7</v>
          </cell>
        </row>
        <row r="76">
          <cell r="H76">
            <v>17387.374814999999</v>
          </cell>
        </row>
        <row r="78">
          <cell r="H78">
            <v>1.5</v>
          </cell>
        </row>
        <row r="79">
          <cell r="H79">
            <v>226.89400000000001</v>
          </cell>
        </row>
        <row r="80">
          <cell r="H80">
            <v>1072.9260000000002</v>
          </cell>
        </row>
        <row r="82">
          <cell r="H82">
            <v>76.376999999999995</v>
          </cell>
        </row>
        <row r="83">
          <cell r="H83">
            <v>3.3</v>
          </cell>
        </row>
        <row r="88">
          <cell r="H88">
            <v>636.91</v>
          </cell>
        </row>
      </sheetData>
      <sheetData sheetId="6">
        <row r="3">
          <cell r="B3" t="str">
            <v>Факт,  4 КВАРТАЛ, 2019</v>
          </cell>
        </row>
      </sheetData>
      <sheetData sheetId="7">
        <row r="3">
          <cell r="B3" t="str">
            <v>Факт,  3 КВАРТАЛ, 2019</v>
          </cell>
        </row>
      </sheetData>
      <sheetData sheetId="8">
        <row r="3">
          <cell r="B3" t="str">
            <v>Факт,  2 КВАРТАЛ, 2019</v>
          </cell>
        </row>
      </sheetData>
      <sheetData sheetId="9">
        <row r="3">
          <cell r="B3" t="str">
            <v>Факт,  1 КВАРТАЛ, 2019</v>
          </cell>
        </row>
      </sheetData>
      <sheetData sheetId="10">
        <row r="3">
          <cell r="B3" t="str">
            <v>Факт,  ЯНВАРЬ, 2019</v>
          </cell>
        </row>
      </sheetData>
      <sheetData sheetId="11"/>
      <sheetData sheetId="12">
        <row r="3">
          <cell r="B3" t="str">
            <v>Факт,  ФЕВРАЛЬ, 2019</v>
          </cell>
        </row>
      </sheetData>
      <sheetData sheetId="13"/>
      <sheetData sheetId="14">
        <row r="3">
          <cell r="B3" t="str">
            <v>Факт,  МАРТ, 2019</v>
          </cell>
        </row>
      </sheetData>
      <sheetData sheetId="15"/>
      <sheetData sheetId="16">
        <row r="7">
          <cell r="F7">
            <v>1642.6410000000001</v>
          </cell>
        </row>
      </sheetData>
      <sheetData sheetId="17"/>
      <sheetData sheetId="18">
        <row r="3">
          <cell r="B3" t="str">
            <v>Факт,  МАЙ, 2019</v>
          </cell>
        </row>
      </sheetData>
      <sheetData sheetId="19"/>
      <sheetData sheetId="20">
        <row r="3">
          <cell r="B3" t="str">
            <v>Факт,  ИЮНЬ, 2019</v>
          </cell>
        </row>
      </sheetData>
      <sheetData sheetId="21"/>
      <sheetData sheetId="22">
        <row r="3">
          <cell r="B3" t="str">
            <v>Факт,  ИЮЛЬ, 2019</v>
          </cell>
        </row>
      </sheetData>
      <sheetData sheetId="23"/>
      <sheetData sheetId="24">
        <row r="3">
          <cell r="B3" t="str">
            <v>Факт,  АВГУСТ, 2019</v>
          </cell>
        </row>
      </sheetData>
      <sheetData sheetId="25"/>
      <sheetData sheetId="26">
        <row r="3">
          <cell r="B3" t="str">
            <v>Факт,  СЕНТЯБРЬ, 2019</v>
          </cell>
        </row>
      </sheetData>
      <sheetData sheetId="27"/>
      <sheetData sheetId="28">
        <row r="3">
          <cell r="B3" t="str">
            <v>Факт,  ОКТЯБРЬ, 2019</v>
          </cell>
        </row>
      </sheetData>
      <sheetData sheetId="29"/>
      <sheetData sheetId="30">
        <row r="3">
          <cell r="B3" t="str">
            <v>Факт,  НОЯБРЬ, 2019</v>
          </cell>
        </row>
      </sheetData>
      <sheetData sheetId="31"/>
      <sheetData sheetId="32">
        <row r="3">
          <cell r="B3" t="str">
            <v>Факт,  ДЕКАБРЬ, 2019</v>
          </cell>
        </row>
      </sheetData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>
        <row r="7">
          <cell r="F7">
            <v>11510.527683</v>
          </cell>
        </row>
        <row r="19">
          <cell r="G19">
            <v>100.185</v>
          </cell>
        </row>
        <row r="78">
          <cell r="H78">
            <v>2.7960000000000007</v>
          </cell>
        </row>
        <row r="79">
          <cell r="H79">
            <v>511.15699999999998</v>
          </cell>
        </row>
        <row r="80">
          <cell r="H80">
            <v>2499.4140000000002</v>
          </cell>
        </row>
        <row r="81">
          <cell r="H81">
            <v>49.940000000000005</v>
          </cell>
        </row>
        <row r="82">
          <cell r="H82">
            <v>70</v>
          </cell>
        </row>
        <row r="83">
          <cell r="H83">
            <v>4.8119999999999985</v>
          </cell>
        </row>
        <row r="88">
          <cell r="H88">
            <v>116.46086000000003</v>
          </cell>
        </row>
      </sheetData>
      <sheetData sheetId="2"/>
      <sheetData sheetId="3"/>
      <sheetData sheetId="4">
        <row r="7">
          <cell r="H7">
            <v>15549</v>
          </cell>
        </row>
        <row r="11">
          <cell r="H11">
            <v>761.06493900000009</v>
          </cell>
        </row>
        <row r="14">
          <cell r="H14">
            <v>2017.3373509999999</v>
          </cell>
        </row>
        <row r="15">
          <cell r="H15">
            <v>309</v>
          </cell>
        </row>
        <row r="23">
          <cell r="H23">
            <v>1520.9739509999999</v>
          </cell>
        </row>
        <row r="76">
          <cell r="H76">
            <v>11362.50985</v>
          </cell>
        </row>
        <row r="78">
          <cell r="H78">
            <v>1.3980000000000001</v>
          </cell>
        </row>
        <row r="79">
          <cell r="H79">
            <v>182.15899999999999</v>
          </cell>
        </row>
        <row r="80">
          <cell r="H80">
            <v>1106.8700000000001</v>
          </cell>
        </row>
        <row r="81">
          <cell r="H81">
            <v>11</v>
          </cell>
        </row>
        <row r="82">
          <cell r="H82">
            <v>39</v>
          </cell>
        </row>
        <row r="83">
          <cell r="H83">
            <v>2.4059999999999997</v>
          </cell>
        </row>
        <row r="88">
          <cell r="H88">
            <v>65.254859999999994</v>
          </cell>
        </row>
      </sheetData>
      <sheetData sheetId="5">
        <row r="7">
          <cell r="H7">
            <v>17619</v>
          </cell>
        </row>
        <row r="11">
          <cell r="H11">
            <v>763.83127000000002</v>
          </cell>
        </row>
        <row r="14">
          <cell r="H14">
            <v>2747.4877369999999</v>
          </cell>
        </row>
        <row r="15">
          <cell r="H15">
            <v>377</v>
          </cell>
        </row>
        <row r="23">
          <cell r="H23">
            <v>2239.059737</v>
          </cell>
        </row>
        <row r="76">
          <cell r="H76">
            <v>12261.188993</v>
          </cell>
        </row>
        <row r="78">
          <cell r="H78">
            <v>1.3980000000000001</v>
          </cell>
        </row>
        <row r="79">
          <cell r="H79">
            <v>328.99799999999999</v>
          </cell>
        </row>
        <row r="80">
          <cell r="H80">
            <v>1392.5440000000003</v>
          </cell>
        </row>
        <row r="81">
          <cell r="H81">
            <v>38.940000000000005</v>
          </cell>
        </row>
        <row r="82">
          <cell r="H82">
            <v>31</v>
          </cell>
        </row>
        <row r="83">
          <cell r="H83">
            <v>2.4059999999999997</v>
          </cell>
        </row>
        <row r="88">
          <cell r="H88">
            <v>51.206000000000003</v>
          </cell>
        </row>
      </sheetData>
      <sheetData sheetId="6">
        <row r="77">
          <cell r="G77">
            <v>129.291</v>
          </cell>
        </row>
      </sheetData>
      <sheetData sheetId="7">
        <row r="77">
          <cell r="G77">
            <v>79.763999999999996</v>
          </cell>
        </row>
      </sheetData>
      <sheetData sheetId="8">
        <row r="77">
          <cell r="G77">
            <v>94.146000000000001</v>
          </cell>
        </row>
      </sheetData>
      <sheetData sheetId="9">
        <row r="77">
          <cell r="G77">
            <v>127.44</v>
          </cell>
        </row>
      </sheetData>
      <sheetData sheetId="10">
        <row r="7">
          <cell r="F7">
            <v>1951.305683</v>
          </cell>
        </row>
      </sheetData>
      <sheetData sheetId="11"/>
      <sheetData sheetId="12">
        <row r="7">
          <cell r="F7">
            <v>1496.825</v>
          </cell>
        </row>
      </sheetData>
      <sheetData sheetId="13"/>
      <sheetData sheetId="14">
        <row r="7">
          <cell r="F7">
            <v>1561.9829999999999</v>
          </cell>
        </row>
      </sheetData>
      <sheetData sheetId="15"/>
      <sheetData sheetId="16">
        <row r="7">
          <cell r="F7">
            <v>1223.4839999999999</v>
          </cell>
        </row>
      </sheetData>
      <sheetData sheetId="17"/>
      <sheetData sheetId="18">
        <row r="7">
          <cell r="F7">
            <v>789.29</v>
          </cell>
        </row>
      </sheetData>
      <sheetData sheetId="19"/>
      <sheetData sheetId="20">
        <row r="7">
          <cell r="F7">
            <v>144.17099999999999</v>
          </cell>
        </row>
      </sheetData>
      <sheetData sheetId="21"/>
      <sheetData sheetId="22">
        <row r="7">
          <cell r="F7">
            <v>0</v>
          </cell>
        </row>
      </sheetData>
      <sheetData sheetId="23"/>
      <sheetData sheetId="24">
        <row r="7">
          <cell r="F7">
            <v>0</v>
          </cell>
        </row>
      </sheetData>
      <sheetData sheetId="25"/>
      <sheetData sheetId="26">
        <row r="7">
          <cell r="F7">
            <v>375.52199999999999</v>
          </cell>
        </row>
      </sheetData>
      <sheetData sheetId="27"/>
      <sheetData sheetId="28">
        <row r="7">
          <cell r="F7">
            <v>1016.625</v>
          </cell>
        </row>
      </sheetData>
      <sheetData sheetId="29"/>
      <sheetData sheetId="30">
        <row r="7">
          <cell r="F7">
            <v>1276.577</v>
          </cell>
        </row>
      </sheetData>
      <sheetData sheetId="31"/>
      <sheetData sheetId="32">
        <row r="7">
          <cell r="F7">
            <v>1674.7449999999999</v>
          </cell>
        </row>
      </sheetData>
      <sheetData sheetId="3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за 1 п.г05 "/>
      <sheetName val="ГОД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  <sheetName val="Лист1"/>
    </sheetNames>
    <sheetDataSet>
      <sheetData sheetId="0"/>
      <sheetData sheetId="1"/>
      <sheetData sheetId="2">
        <row r="7">
          <cell r="F7">
            <v>7601.1953979999998</v>
          </cell>
        </row>
        <row r="19">
          <cell r="G19">
            <v>102.04799999999999</v>
          </cell>
        </row>
        <row r="78">
          <cell r="H78">
            <v>0</v>
          </cell>
        </row>
        <row r="79">
          <cell r="H79">
            <v>32.08</v>
          </cell>
        </row>
        <row r="80">
          <cell r="H80">
            <v>857.80473900000004</v>
          </cell>
        </row>
        <row r="81">
          <cell r="H81">
            <v>25</v>
          </cell>
        </row>
        <row r="87">
          <cell r="H87">
            <v>0</v>
          </cell>
        </row>
        <row r="88">
          <cell r="H88">
            <v>111.599</v>
          </cell>
        </row>
      </sheetData>
      <sheetData sheetId="3">
        <row r="212">
          <cell r="F212">
            <v>66894329.69000002</v>
          </cell>
        </row>
      </sheetData>
      <sheetData sheetId="4">
        <row r="7">
          <cell r="H7">
            <v>17217</v>
          </cell>
        </row>
        <row r="11">
          <cell r="H11">
            <v>489.03571000000005</v>
          </cell>
        </row>
        <row r="14">
          <cell r="H14">
            <v>3165.3</v>
          </cell>
        </row>
        <row r="15">
          <cell r="H15">
            <v>3127.5</v>
          </cell>
        </row>
        <row r="76">
          <cell r="H76">
            <v>13041.02529</v>
          </cell>
        </row>
        <row r="78">
          <cell r="H78">
            <v>0</v>
          </cell>
        </row>
        <row r="79">
          <cell r="H79">
            <v>9.0399999999999991</v>
          </cell>
        </row>
        <row r="80">
          <cell r="H80">
            <v>437</v>
          </cell>
        </row>
        <row r="81">
          <cell r="H81">
            <v>19</v>
          </cell>
        </row>
        <row r="88">
          <cell r="H88">
            <v>56.599000000000004</v>
          </cell>
        </row>
      </sheetData>
      <sheetData sheetId="5">
        <row r="7">
          <cell r="H7">
            <v>17559</v>
          </cell>
        </row>
        <row r="11">
          <cell r="H11">
            <v>768.54753600000004</v>
          </cell>
        </row>
        <row r="14">
          <cell r="H14">
            <v>3365</v>
          </cell>
        </row>
        <row r="15">
          <cell r="H15">
            <v>3327.2</v>
          </cell>
        </row>
        <row r="76">
          <cell r="H76">
            <v>12920.607725000002</v>
          </cell>
        </row>
        <row r="78">
          <cell r="H78">
            <v>0</v>
          </cell>
        </row>
        <row r="79">
          <cell r="H79">
            <v>23.04</v>
          </cell>
        </row>
        <row r="80">
          <cell r="H80">
            <v>420.80473899999998</v>
          </cell>
        </row>
        <row r="81">
          <cell r="H81">
            <v>6</v>
          </cell>
        </row>
        <row r="87">
          <cell r="H87">
            <v>0</v>
          </cell>
        </row>
        <row r="88">
          <cell r="H88">
            <v>55</v>
          </cell>
        </row>
      </sheetData>
      <sheetData sheetId="6">
        <row r="77">
          <cell r="G77">
            <v>87.158999999999992</v>
          </cell>
        </row>
      </sheetData>
      <sheetData sheetId="7">
        <row r="77">
          <cell r="G77">
            <v>55.629999999999995</v>
          </cell>
        </row>
      </sheetData>
      <sheetData sheetId="8">
        <row r="212">
          <cell r="E212">
            <v>36672669.25</v>
          </cell>
        </row>
      </sheetData>
      <sheetData sheetId="9">
        <row r="212">
          <cell r="E212">
            <v>45167135.43</v>
          </cell>
        </row>
      </sheetData>
      <sheetData sheetId="10">
        <row r="7">
          <cell r="F7">
            <v>1197.198398</v>
          </cell>
        </row>
      </sheetData>
      <sheetData sheetId="11"/>
      <sheetData sheetId="12">
        <row r="7">
          <cell r="F7">
            <v>824.79200000000003</v>
          </cell>
        </row>
      </sheetData>
      <sheetData sheetId="13"/>
      <sheetData sheetId="14">
        <row r="7">
          <cell r="F7">
            <v>872.59799999999996</v>
          </cell>
        </row>
      </sheetData>
      <sheetData sheetId="15"/>
      <sheetData sheetId="16">
        <row r="7">
          <cell r="F7">
            <v>938.423</v>
          </cell>
        </row>
      </sheetData>
      <sheetData sheetId="17"/>
      <sheetData sheetId="18">
        <row r="7">
          <cell r="F7">
            <v>616.59199999999998</v>
          </cell>
        </row>
      </sheetData>
      <sheetData sheetId="19"/>
      <sheetData sheetId="20">
        <row r="7">
          <cell r="F7">
            <v>163.745</v>
          </cell>
        </row>
      </sheetData>
      <sheetData sheetId="21"/>
      <sheetData sheetId="22">
        <row r="7">
          <cell r="F7">
            <v>0</v>
          </cell>
        </row>
      </sheetData>
      <sheetData sheetId="23"/>
      <sheetData sheetId="24">
        <row r="7">
          <cell r="F7">
            <v>341.37</v>
          </cell>
        </row>
      </sheetData>
      <sheetData sheetId="25"/>
      <sheetData sheetId="26">
        <row r="7">
          <cell r="F7">
            <v>443.65899999999999</v>
          </cell>
        </row>
      </sheetData>
      <sheetData sheetId="27"/>
      <sheetData sheetId="28">
        <row r="7">
          <cell r="F7">
            <v>580.46199999999999</v>
          </cell>
        </row>
      </sheetData>
      <sheetData sheetId="29"/>
      <sheetData sheetId="30">
        <row r="7">
          <cell r="F7">
            <v>721.59500000000003</v>
          </cell>
        </row>
      </sheetData>
      <sheetData sheetId="31"/>
      <sheetData sheetId="32">
        <row r="7">
          <cell r="F7">
            <v>900.76099999999997</v>
          </cell>
        </row>
      </sheetData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"/>
      <sheetName val="за 1 п.г05 "/>
      <sheetName val="ГОД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>
        <row r="98">
          <cell r="C98" t="str">
            <v>Теплоноситель</v>
          </cell>
        </row>
      </sheetData>
      <sheetData sheetId="1"/>
      <sheetData sheetId="2">
        <row r="3">
          <cell r="B3" t="str">
            <v>Факт,  ГОД, 2019</v>
          </cell>
        </row>
        <row r="19">
          <cell r="G19">
            <v>132.44300000000001</v>
          </cell>
        </row>
        <row r="78">
          <cell r="H78">
            <v>570.88550699999996</v>
          </cell>
        </row>
        <row r="79">
          <cell r="H79">
            <v>3992.9479999999999</v>
          </cell>
        </row>
        <row r="80">
          <cell r="H80">
            <v>3683.8654509999997</v>
          </cell>
        </row>
        <row r="81">
          <cell r="H81">
            <v>21.187000000000001</v>
          </cell>
        </row>
        <row r="82">
          <cell r="H82">
            <v>162.04399999999998</v>
          </cell>
        </row>
        <row r="83">
          <cell r="H83">
            <v>28.702999999999999</v>
          </cell>
        </row>
        <row r="87">
          <cell r="H87">
            <v>775.56399999999996</v>
          </cell>
        </row>
        <row r="88">
          <cell r="H88">
            <v>2302.2399999999998</v>
          </cell>
        </row>
      </sheetData>
      <sheetData sheetId="3">
        <row r="3">
          <cell r="B3" t="str">
            <v>Факт,  9 МЕСЯЦЕВ, 2019</v>
          </cell>
        </row>
      </sheetData>
      <sheetData sheetId="4">
        <row r="7">
          <cell r="H7">
            <v>86031</v>
          </cell>
        </row>
        <row r="8">
          <cell r="H8">
            <v>320.642</v>
          </cell>
        </row>
        <row r="11">
          <cell r="H11">
            <v>9288.1171969999996</v>
          </cell>
        </row>
        <row r="14">
          <cell r="H14">
            <v>41393.537999999993</v>
          </cell>
        </row>
        <row r="15">
          <cell r="H15">
            <v>1862.73</v>
          </cell>
        </row>
        <row r="23">
          <cell r="H23">
            <v>130.28800000000001</v>
          </cell>
        </row>
        <row r="51">
          <cell r="H51">
            <v>38825</v>
          </cell>
        </row>
        <row r="76">
          <cell r="H76">
            <v>29436.766603</v>
          </cell>
        </row>
        <row r="78">
          <cell r="H78">
            <v>286.72320000000002</v>
          </cell>
        </row>
        <row r="79">
          <cell r="H79">
            <v>1893.278</v>
          </cell>
        </row>
        <row r="80">
          <cell r="H80">
            <v>1435.058</v>
          </cell>
        </row>
        <row r="81">
          <cell r="H81">
            <v>14.055000000000001</v>
          </cell>
        </row>
        <row r="82">
          <cell r="H82">
            <v>76.911999999999992</v>
          </cell>
        </row>
        <row r="83">
          <cell r="H83">
            <v>18.399999999999999</v>
          </cell>
        </row>
        <row r="87">
          <cell r="H87">
            <v>597.37599999999998</v>
          </cell>
        </row>
        <row r="88">
          <cell r="H88">
            <v>1270.134</v>
          </cell>
        </row>
      </sheetData>
      <sheetData sheetId="5">
        <row r="3">
          <cell r="B3" t="str">
            <v>Факт,  1 ПОЛУГОДИЕ, 2019</v>
          </cell>
        </row>
        <row r="7">
          <cell r="H7">
            <v>89269</v>
          </cell>
        </row>
        <row r="8">
          <cell r="H8">
            <v>525.46199999999999</v>
          </cell>
        </row>
        <row r="11">
          <cell r="H11">
            <v>4746.9786490000006</v>
          </cell>
        </row>
        <row r="14">
          <cell r="H14">
            <v>42077.728999999999</v>
          </cell>
        </row>
        <row r="15">
          <cell r="H15">
            <v>1880.768</v>
          </cell>
        </row>
        <row r="23">
          <cell r="H23">
            <v>199.93399999999997</v>
          </cell>
        </row>
        <row r="51">
          <cell r="H51">
            <v>39612</v>
          </cell>
        </row>
        <row r="76">
          <cell r="H76">
            <v>35973.329593000002</v>
          </cell>
        </row>
        <row r="78">
          <cell r="H78">
            <v>284.162307</v>
          </cell>
        </row>
        <row r="79">
          <cell r="H79">
            <v>2099.67</v>
          </cell>
        </row>
        <row r="80">
          <cell r="H80">
            <v>2248.8074510000001</v>
          </cell>
        </row>
        <row r="81">
          <cell r="H81">
            <v>7.1319999999999988</v>
          </cell>
        </row>
        <row r="82">
          <cell r="H82">
            <v>85.131999999999991</v>
          </cell>
        </row>
        <row r="83">
          <cell r="H83">
            <v>10.303000000000001</v>
          </cell>
        </row>
        <row r="87">
          <cell r="H87">
            <v>178.18799999999999</v>
          </cell>
        </row>
        <row r="88">
          <cell r="H88">
            <v>1032.106</v>
          </cell>
        </row>
      </sheetData>
      <sheetData sheetId="6">
        <row r="3">
          <cell r="B3" t="str">
            <v>Факт,  4 КВАРТАЛ, 2019</v>
          </cell>
        </row>
      </sheetData>
      <sheetData sheetId="7">
        <row r="3">
          <cell r="B3" t="str">
            <v>Факт,  3 КВАРТАЛ, 2019</v>
          </cell>
        </row>
      </sheetData>
      <sheetData sheetId="8">
        <row r="3">
          <cell r="B3" t="str">
            <v>Факт,  2 КВАРТАЛ, 2019</v>
          </cell>
        </row>
      </sheetData>
      <sheetData sheetId="9">
        <row r="3">
          <cell r="B3" t="str">
            <v>Факт,  1 КВАРТАЛ, 2019</v>
          </cell>
        </row>
      </sheetData>
      <sheetData sheetId="10">
        <row r="3">
          <cell r="B3" t="str">
            <v>Факт,  ЯНВАРЬ, 2019</v>
          </cell>
        </row>
      </sheetData>
      <sheetData sheetId="11"/>
      <sheetData sheetId="12">
        <row r="3">
          <cell r="B3" t="str">
            <v>Факт,  ФЕВРАЛЬ, 2019</v>
          </cell>
        </row>
      </sheetData>
      <sheetData sheetId="13"/>
      <sheetData sheetId="14">
        <row r="3">
          <cell r="B3" t="str">
            <v>Факт,  МАРТ, 2019</v>
          </cell>
        </row>
      </sheetData>
      <sheetData sheetId="15"/>
      <sheetData sheetId="16">
        <row r="3">
          <cell r="B3" t="str">
            <v>Факт,  АПРЕЛЬ, 2019</v>
          </cell>
        </row>
      </sheetData>
      <sheetData sheetId="17"/>
      <sheetData sheetId="18">
        <row r="3">
          <cell r="B3" t="str">
            <v>Факт,  МАЙ, 2019</v>
          </cell>
        </row>
      </sheetData>
      <sheetData sheetId="19"/>
      <sheetData sheetId="20">
        <row r="3">
          <cell r="B3" t="str">
            <v>Факт,  ИЮНЬ, 2019</v>
          </cell>
        </row>
      </sheetData>
      <sheetData sheetId="21"/>
      <sheetData sheetId="22">
        <row r="3">
          <cell r="B3" t="str">
            <v>Факт,  ИЮЛЬ, 2019</v>
          </cell>
        </row>
      </sheetData>
      <sheetData sheetId="23"/>
      <sheetData sheetId="24">
        <row r="3">
          <cell r="B3" t="str">
            <v>Факт,  АВГУСТ, 2019</v>
          </cell>
        </row>
      </sheetData>
      <sheetData sheetId="25"/>
      <sheetData sheetId="26">
        <row r="3">
          <cell r="B3" t="str">
            <v>Факт,  СЕНТЯБРЬ, 2019</v>
          </cell>
        </row>
      </sheetData>
      <sheetData sheetId="27"/>
      <sheetData sheetId="28">
        <row r="3">
          <cell r="B3" t="str">
            <v>Факт,  ОКТЯБРЬ, 2019</v>
          </cell>
        </row>
      </sheetData>
      <sheetData sheetId="29"/>
      <sheetData sheetId="30">
        <row r="3">
          <cell r="B3" t="str">
            <v>Факт,  НОЯБРЬ, 2019</v>
          </cell>
        </row>
      </sheetData>
      <sheetData sheetId="31"/>
      <sheetData sheetId="32">
        <row r="3">
          <cell r="B3" t="str">
            <v>Факт,  ДЕКАБРЬ, 2019</v>
          </cell>
        </row>
      </sheetData>
      <sheetData sheetId="3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 парам"/>
      <sheetName val="индексы"/>
      <sheetName val="Свод села"/>
      <sheetName val="Свод "/>
      <sheetName val="У_Копи"/>
      <sheetName val="Канч"/>
      <sheetName val="Марк"/>
      <sheetName val="У_Бел"/>
      <sheetName val="Снежн"/>
      <sheetName val="Ваеги"/>
      <sheetName val="Беринг"/>
      <sheetName val="Алькат"/>
      <sheetName val="Мейнып"/>
      <sheetName val="Хатыр"/>
      <sheetName val="Провид"/>
      <sheetName val="Н_Чапл"/>
      <sheetName val="Сирен"/>
      <sheetName val="формула"/>
      <sheetName val="Субс"/>
      <sheetName val="недополу доход"/>
    </sheetNames>
    <sheetDataSet>
      <sheetData sheetId="0"/>
      <sheetData sheetId="1"/>
      <sheetData sheetId="2"/>
      <sheetData sheetId="3"/>
      <sheetData sheetId="4">
        <row r="129">
          <cell r="F129">
            <v>515.46113611069461</v>
          </cell>
        </row>
      </sheetData>
      <sheetData sheetId="5">
        <row r="129">
          <cell r="F129">
            <v>236.35531464471791</v>
          </cell>
        </row>
      </sheetData>
      <sheetData sheetId="6">
        <row r="129">
          <cell r="F129">
            <v>109.72</v>
          </cell>
        </row>
      </sheetData>
      <sheetData sheetId="7">
        <row r="129">
          <cell r="F129">
            <v>352.60183510114848</v>
          </cell>
        </row>
      </sheetData>
      <sheetData sheetId="8">
        <row r="129">
          <cell r="F129">
            <v>545.20281653235907</v>
          </cell>
        </row>
      </sheetData>
      <sheetData sheetId="9">
        <row r="129">
          <cell r="F129">
            <v>145.75313968138698</v>
          </cell>
        </row>
      </sheetData>
      <sheetData sheetId="10">
        <row r="129">
          <cell r="F129">
            <v>209.16512291139429</v>
          </cell>
        </row>
      </sheetData>
      <sheetData sheetId="11">
        <row r="129">
          <cell r="F129">
            <v>264.13367088532385</v>
          </cell>
        </row>
      </sheetData>
      <sheetData sheetId="12">
        <row r="51">
          <cell r="Q51">
            <v>2847.8097984600008</v>
          </cell>
          <cell r="S51">
            <v>2923.6469733929903</v>
          </cell>
          <cell r="U51">
            <v>3010.1869238054228</v>
          </cell>
          <cell r="W51">
            <v>3099.2884567500637</v>
          </cell>
        </row>
      </sheetData>
      <sheetData sheetId="13">
        <row r="129">
          <cell r="F129">
            <v>505.80985960076475</v>
          </cell>
        </row>
      </sheetData>
      <sheetData sheetId="14">
        <row r="129">
          <cell r="F129">
            <v>216.10357548508114</v>
          </cell>
        </row>
      </sheetData>
      <sheetData sheetId="15">
        <row r="129">
          <cell r="F129">
            <v>214.8439000230874</v>
          </cell>
        </row>
      </sheetData>
      <sheetData sheetId="16">
        <row r="129">
          <cell r="F129">
            <v>254.60235212206666</v>
          </cell>
        </row>
      </sheetData>
      <sheetData sheetId="17"/>
      <sheetData sheetId="18"/>
      <sheetData sheetId="1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СВОД Филиал"/>
      <sheetName val="Свод Угольные Копи"/>
      <sheetName val="Свод Канчалан"/>
      <sheetName val="Свод Усть-Белая"/>
      <sheetName val="Свод Снежное"/>
      <sheetName val="Свод Краснено"/>
      <sheetName val="Свод Село5"/>
      <sheetName val="ИД"/>
      <sheetName val="Произв. программа"/>
      <sheetName val="Топливо"/>
      <sheetName val="Мат. баланс"/>
      <sheetName val="Тепло"/>
      <sheetName val="Эл-во"/>
      <sheetName val="Вода"/>
      <sheetName val="Водотв и ТБО"/>
      <sheetName val="ПП Угольные Копи"/>
      <sheetName val="ПП РЦ-Селам"/>
      <sheetName val="ПП Канчалан"/>
      <sheetName val="ПП Усть-Белая"/>
      <sheetName val="ПП У-Белая-селам"/>
      <sheetName val="ПП Снежное"/>
      <sheetName val="ПП Село5"/>
      <sheetName val="ПП Краснено"/>
      <sheetName val="АТХ-перевозка"/>
      <sheetName val="Амортизация"/>
      <sheetName val="Амортизация общ"/>
      <sheetName val="Аренда"/>
      <sheetName val="РасхПроч"/>
      <sheetName val="Расшифровка прочих"/>
      <sheetName val="Расчеты прочих"/>
      <sheetName val="ЦехПроч"/>
      <sheetName val="ОТ"/>
      <sheetName val="ФОТ"/>
      <sheetName val="ФОТ_подр"/>
      <sheetName val="Произв. общ"/>
      <sheetName val="ЦехСодЗд"/>
      <sheetName val="УслВспПр-в"/>
      <sheetName val="УслРЦ"/>
      <sheetName val="УслУ-белая-селам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/>
      <sheetData sheetId="1"/>
      <sheetData sheetId="2">
        <row r="7">
          <cell r="F7">
            <v>284121.91527706844</v>
          </cell>
        </row>
      </sheetData>
      <sheetData sheetId="3">
        <row r="7">
          <cell r="F7">
            <v>32450.209466382075</v>
          </cell>
        </row>
        <row r="19">
          <cell r="E19">
            <v>59.149000000000001</v>
          </cell>
        </row>
      </sheetData>
      <sheetData sheetId="4"/>
      <sheetData sheetId="5"/>
      <sheetData sheetId="6"/>
      <sheetData sheetId="7"/>
      <sheetData sheetId="8">
        <row r="16">
          <cell r="E16">
            <v>5400</v>
          </cell>
        </row>
      </sheetData>
      <sheetData sheetId="9"/>
      <sheetData sheetId="10"/>
      <sheetData sheetId="11">
        <row r="6">
          <cell r="J6">
            <v>25000</v>
          </cell>
        </row>
      </sheetData>
      <sheetData sheetId="12">
        <row r="83">
          <cell r="D83">
            <v>0.95360400000000001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D6">
            <v>1006638.7491599994</v>
          </cell>
        </row>
      </sheetData>
      <sheetData sheetId="27"/>
      <sheetData sheetId="28">
        <row r="6">
          <cell r="F6">
            <v>1761.3283848799997</v>
          </cell>
        </row>
      </sheetData>
      <sheetData sheetId="29">
        <row r="8">
          <cell r="AF8">
            <v>24.424251999999996</v>
          </cell>
        </row>
      </sheetData>
      <sheetData sheetId="30"/>
      <sheetData sheetId="31"/>
      <sheetData sheetId="32"/>
      <sheetData sheetId="33">
        <row r="11">
          <cell r="E11">
            <v>70.5</v>
          </cell>
        </row>
      </sheetData>
      <sheetData sheetId="34">
        <row r="88">
          <cell r="Q88">
            <v>13235.4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E11">
            <v>33.635249999999999</v>
          </cell>
        </row>
      </sheetData>
      <sheetData sheetId="44"/>
      <sheetData sheetId="45"/>
      <sheetData sheetId="4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СВОД Филиал"/>
      <sheetName val="Свод Беринговский"/>
      <sheetName val="Свод Алькатваам"/>
      <sheetName val="Свод Мейныпильгино"/>
      <sheetName val="Свод Хатырка"/>
      <sheetName val="Свод Село4"/>
      <sheetName val="Свод Село5"/>
      <sheetName val="ИД"/>
      <sheetName val="Произв. программа"/>
      <sheetName val="Мат. баланс"/>
      <sheetName val="Топливо"/>
      <sheetName val="Тепло"/>
      <sheetName val="Эл-во"/>
      <sheetName val="Вода"/>
      <sheetName val="Водотв и ТБО"/>
      <sheetName val="ПП Беринговский"/>
      <sheetName val="ПП РЦ-Селам"/>
      <sheetName val="ПП Алькатваам"/>
      <sheetName val="ПП Мейныпильгино"/>
      <sheetName val="ПП Хатырка"/>
      <sheetName val="ПП Село4"/>
      <sheetName val="ПП Село5"/>
      <sheetName val="АТХ-перевозка"/>
      <sheetName val="Амортизация"/>
      <sheetName val="Амортизация общ"/>
      <sheetName val="Аренда"/>
      <sheetName val="РасхПроч"/>
      <sheetName val="Расшифровка прочих"/>
      <sheetName val="Расчеты прочих"/>
      <sheetName val="ЦехПроч"/>
      <sheetName val="ОТ"/>
      <sheetName val="ФОТ"/>
      <sheetName val="ФОТ_подр"/>
      <sheetName val="Произв. общ"/>
      <sheetName val="ЦехСодЗд"/>
      <sheetName val="УслВспПр-в"/>
      <sheetName val="УслРЦ"/>
      <sheetName val="УслАнад"/>
      <sheetName val="АТХ-распр"/>
      <sheetName val="ОХРраспр"/>
      <sheetName val="Спецодежда"/>
      <sheetName val="Прибыль"/>
      <sheetName val="Расчет тарифов"/>
      <sheetName val="Баланс Филиал"/>
    </sheetNames>
    <sheetDataSet>
      <sheetData sheetId="0"/>
      <sheetData sheetId="1"/>
      <sheetData sheetId="2">
        <row r="7">
          <cell r="F7">
            <v>131233.03102548982</v>
          </cell>
        </row>
        <row r="19">
          <cell r="E19">
            <v>681.5</v>
          </cell>
        </row>
      </sheetData>
      <sheetData sheetId="3">
        <row r="7">
          <cell r="F7">
            <v>19251.799777900374</v>
          </cell>
        </row>
        <row r="19">
          <cell r="E19">
            <v>52.76</v>
          </cell>
        </row>
      </sheetData>
      <sheetData sheetId="4">
        <row r="7">
          <cell r="F7">
            <v>24412.363499854735</v>
          </cell>
        </row>
        <row r="19">
          <cell r="E19">
            <v>306.89</v>
          </cell>
        </row>
      </sheetData>
      <sheetData sheetId="5">
        <row r="7">
          <cell r="F7">
            <v>15877.488718014156</v>
          </cell>
        </row>
        <row r="19">
          <cell r="E19">
            <v>88.171000000000006</v>
          </cell>
        </row>
      </sheetData>
      <sheetData sheetId="6"/>
      <sheetData sheetId="7"/>
      <sheetData sheetId="8">
        <row r="16">
          <cell r="E16">
            <v>1300</v>
          </cell>
        </row>
      </sheetData>
      <sheetData sheetId="9"/>
      <sheetData sheetId="10">
        <row r="6">
          <cell r="M6">
            <v>365.33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D6">
            <v>9316.6303800000023</v>
          </cell>
        </row>
      </sheetData>
      <sheetData sheetId="26"/>
      <sheetData sheetId="27"/>
      <sheetData sheetId="28">
        <row r="7">
          <cell r="AG7">
            <v>14.229781599999999</v>
          </cell>
        </row>
      </sheetData>
      <sheetData sheetId="29"/>
      <sheetData sheetId="30"/>
      <sheetData sheetId="31"/>
      <sheetData sheetId="32">
        <row r="11">
          <cell r="E11">
            <v>44.5</v>
          </cell>
        </row>
      </sheetData>
      <sheetData sheetId="33">
        <row r="110">
          <cell r="Q110">
            <v>14710.478075517662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1">
          <cell r="E11">
            <v>19.724374999999998</v>
          </cell>
        </row>
      </sheetData>
      <sheetData sheetId="43"/>
      <sheetData sheetId="4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СВОД Филиал"/>
      <sheetName val="Свод Марково"/>
      <sheetName val="Свод Ваеги"/>
      <sheetName val="Свод Ламутское"/>
      <sheetName val="Свод Чуванское"/>
      <sheetName val="Свод Усть-Белая"/>
      <sheetName val="Свод Снежное"/>
      <sheetName val="ИД"/>
      <sheetName val="Мат. баланс"/>
      <sheetName val="Произв. программа"/>
      <sheetName val="Топливо"/>
      <sheetName val="Тепло"/>
      <sheetName val="Эл-во"/>
      <sheetName val="Вода"/>
      <sheetName val="Водотв и ТБО"/>
      <sheetName val="ПП Марково"/>
      <sheetName val="ПП РЦ-Селам"/>
      <sheetName val="ПП Ваеги"/>
      <sheetName val="ПП Ваеги - селам"/>
      <sheetName val="ПП Ламутское"/>
      <sheetName val="ПП Чуванское"/>
      <sheetName val="ПП Усть-Белая"/>
      <sheetName val="ПП Снежное"/>
      <sheetName val="АТХ-перевозка"/>
      <sheetName val="Амортизация"/>
      <sheetName val="Аренда"/>
      <sheetName val="РасхПроч"/>
      <sheetName val="Расшифровка прочих"/>
      <sheetName val="Расчеты прочих"/>
      <sheetName val="ЦехПроч"/>
      <sheetName val="ОТ"/>
      <sheetName val="ФОТ"/>
      <sheetName val="ФОТ_подр"/>
      <sheetName val="Амортизация общ"/>
      <sheetName val="Произв. общ"/>
      <sheetName val="ЦехСодЗд"/>
      <sheetName val="УслВспПр-в"/>
      <sheetName val="УслРЦ"/>
      <sheetName val="УслВаеги-селам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 refreshError="1"/>
      <sheetData sheetId="1" refreshError="1"/>
      <sheetData sheetId="2">
        <row r="7">
          <cell r="F7">
            <v>50056.937977305526</v>
          </cell>
        </row>
        <row r="19">
          <cell r="E19">
            <v>88.08</v>
          </cell>
        </row>
      </sheetData>
      <sheetData sheetId="3">
        <row r="7">
          <cell r="F7">
            <v>17168.541927918552</v>
          </cell>
        </row>
        <row r="19">
          <cell r="E19">
            <v>37.317</v>
          </cell>
        </row>
      </sheetData>
      <sheetData sheetId="4" refreshError="1"/>
      <sheetData sheetId="5" refreshError="1"/>
      <sheetData sheetId="6">
        <row r="7">
          <cell r="F7">
            <v>36283.339866132985</v>
          </cell>
        </row>
        <row r="19">
          <cell r="E19">
            <v>167.36600000000001</v>
          </cell>
        </row>
      </sheetData>
      <sheetData sheetId="7">
        <row r="7">
          <cell r="F7">
            <v>6017.9216710716082</v>
          </cell>
        </row>
        <row r="19">
          <cell r="E19">
            <v>12.66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1">
          <cell r="E11">
            <v>6.436375</v>
          </cell>
        </row>
      </sheetData>
      <sheetData sheetId="44" refreshError="1"/>
      <sheetData sheetId="45" refreshError="1"/>
      <sheetData sheetId="4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СВОД Филиал"/>
      <sheetName val="Свод Провидения"/>
      <sheetName val="Свод Новое Чаплино"/>
      <sheetName val="Свод Сиреники"/>
      <sheetName val="Свод Нунлигран"/>
      <sheetName val="Свод Энмелен"/>
      <sheetName val="Свод Янракыннот"/>
      <sheetName val="ИД"/>
      <sheetName val="Произв. программа"/>
      <sheetName val="Мат. баланс"/>
      <sheetName val="Топливо"/>
      <sheetName val="БПК с.Янракын."/>
      <sheetName val="Доп.Эл-во"/>
      <sheetName val="Тепло"/>
      <sheetName val="Эл-во"/>
      <sheetName val="Вода"/>
      <sheetName val="Водотв и ТБО"/>
      <sheetName val="ПП РЦ-СЕЛАМ (доп)"/>
      <sheetName val="ПП Провидения"/>
      <sheetName val="ПП РЦ-Селам"/>
      <sheetName val="ПП Новое Чаплино"/>
      <sheetName val="ПП Сиреники"/>
      <sheetName val="ПП Нунлигран"/>
      <sheetName val="ПП Энмелен"/>
      <sheetName val="ПП Янракыннот"/>
      <sheetName val="АТХ-прочие"/>
      <sheetName val="АТХ-перевозка"/>
      <sheetName val="Амортизация"/>
      <sheetName val="Амортизация общ"/>
      <sheetName val="Аренда"/>
      <sheetName val="РасхПроч"/>
      <sheetName val="Расшифровка прочих"/>
      <sheetName val="Хранение"/>
      <sheetName val="Доп.расчет прочих"/>
      <sheetName val="Расчеты прочих"/>
      <sheetName val="ЦехПроч"/>
      <sheetName val="ОТ"/>
      <sheetName val="Расч.ОхрПроч"/>
      <sheetName val="ФОТ"/>
      <sheetName val="ФОТ_подр"/>
      <sheetName val="Произв. общ"/>
      <sheetName val="ЦехСодЗд"/>
      <sheetName val="УслВспПр-в"/>
      <sheetName val="УслРЦ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 refreshError="1"/>
      <sheetData sheetId="1" refreshError="1"/>
      <sheetData sheetId="2">
        <row r="7">
          <cell r="F7">
            <v>157344.33080694501</v>
          </cell>
        </row>
        <row r="19">
          <cell r="E19">
            <v>154.05699999999999</v>
          </cell>
        </row>
      </sheetData>
      <sheetData sheetId="3">
        <row r="7">
          <cell r="F7">
            <v>43554.054183771848</v>
          </cell>
        </row>
        <row r="19">
          <cell r="E19">
            <v>57.75</v>
          </cell>
        </row>
      </sheetData>
      <sheetData sheetId="4">
        <row r="7">
          <cell r="F7">
            <v>24735.943342856539</v>
          </cell>
        </row>
        <row r="19">
          <cell r="E19">
            <v>100.54300000000001</v>
          </cell>
        </row>
      </sheetData>
      <sheetData sheetId="5" refreshError="1"/>
      <sheetData sheetId="6" refreshError="1"/>
      <sheetData sheetId="7" refreshError="1"/>
      <sheetData sheetId="8">
        <row r="39">
          <cell r="D39">
            <v>210.9</v>
          </cell>
        </row>
      </sheetData>
      <sheetData sheetId="9" refreshError="1"/>
      <sheetData sheetId="10" refreshError="1"/>
      <sheetData sheetId="11">
        <row r="61">
          <cell r="D61">
            <v>1252.8927967253646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6">
          <cell r="D6">
            <v>24871.425869999999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11">
          <cell r="G11">
            <v>30.5</v>
          </cell>
        </row>
      </sheetData>
      <sheetData sheetId="40">
        <row r="101">
          <cell r="Q101">
            <v>13678.163824604142</v>
          </cell>
        </row>
      </sheetData>
      <sheetData sheetId="41">
        <row r="8">
          <cell r="C8">
            <v>111.47220584407283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3">
          <cell r="D13">
            <v>4000</v>
          </cell>
        </row>
      </sheetData>
      <sheetData sheetId="49" refreshError="1"/>
      <sheetData sheetId="50" refreshError="1"/>
      <sheetData sheetId="5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7"/>
  <sheetViews>
    <sheetView workbookViewId="0">
      <selection activeCell="E20" sqref="E20"/>
    </sheetView>
  </sheetViews>
  <sheetFormatPr defaultColWidth="9.140625" defaultRowHeight="15.75" x14ac:dyDescent="0.25"/>
  <cols>
    <col min="1" max="1" width="51.28515625" style="61" customWidth="1"/>
    <col min="2" max="2" width="61.85546875" style="61" customWidth="1"/>
    <col min="3" max="3" width="7" style="61" customWidth="1"/>
    <col min="4" max="4" width="6.7109375" style="61" customWidth="1"/>
    <col min="5" max="16384" width="9.140625" style="61"/>
  </cols>
  <sheetData>
    <row r="1" spans="1:2" s="58" customFormat="1" ht="18.75" x14ac:dyDescent="0.3">
      <c r="A1" s="287" t="s">
        <v>147</v>
      </c>
      <c r="B1" s="287"/>
    </row>
    <row r="2" spans="1:2" s="58" customFormat="1" ht="18.75" x14ac:dyDescent="0.3">
      <c r="A2" s="288" t="s">
        <v>148</v>
      </c>
      <c r="B2" s="288"/>
    </row>
    <row r="3" spans="1:2" s="58" customFormat="1" ht="19.5" customHeight="1" x14ac:dyDescent="0.3">
      <c r="A3" s="289"/>
      <c r="B3" s="290"/>
    </row>
    <row r="4" spans="1:2" s="58" customFormat="1" ht="18.75" customHeight="1" x14ac:dyDescent="0.3">
      <c r="A4" s="291" t="s">
        <v>73</v>
      </c>
      <c r="B4" s="291"/>
    </row>
    <row r="5" spans="1:2" ht="27" customHeight="1" x14ac:dyDescent="0.25">
      <c r="A5" s="59" t="s">
        <v>74</v>
      </c>
      <c r="B5" s="60" t="s">
        <v>81</v>
      </c>
    </row>
    <row r="6" spans="1:2" ht="36" customHeight="1" x14ac:dyDescent="0.25">
      <c r="A6" s="59" t="s">
        <v>75</v>
      </c>
      <c r="B6" s="57" t="s">
        <v>80</v>
      </c>
    </row>
    <row r="7" spans="1:2" ht="38.25" customHeight="1" x14ac:dyDescent="0.25">
      <c r="A7" s="59" t="s">
        <v>76</v>
      </c>
      <c r="B7" s="57" t="s">
        <v>77</v>
      </c>
    </row>
    <row r="8" spans="1:2" ht="27.75" customHeight="1" x14ac:dyDescent="0.25">
      <c r="A8" s="59" t="s">
        <v>78</v>
      </c>
      <c r="B8" s="60" t="s">
        <v>79</v>
      </c>
    </row>
    <row r="9" spans="1:2" s="64" customFormat="1" ht="21.75" customHeight="1" x14ac:dyDescent="0.25">
      <c r="A9" s="62"/>
      <c r="B9" s="63"/>
    </row>
    <row r="10" spans="1:2" ht="16.5" customHeight="1" x14ac:dyDescent="0.25"/>
    <row r="12" spans="1:2" x14ac:dyDescent="0.25">
      <c r="A12" s="196"/>
      <c r="B12" s="161"/>
    </row>
    <row r="13" spans="1:2" x14ac:dyDescent="0.25">
      <c r="A13" s="197"/>
      <c r="B13" s="198"/>
    </row>
    <row r="14" spans="1:2" x14ac:dyDescent="0.25">
      <c r="A14" s="197"/>
      <c r="B14" s="198"/>
    </row>
    <row r="20" spans="1:3" x14ac:dyDescent="0.25">
      <c r="C20" s="65"/>
    </row>
    <row r="22" spans="1:3" x14ac:dyDescent="0.25">
      <c r="C22" s="66"/>
    </row>
    <row r="25" spans="1:3" s="64" customFormat="1" x14ac:dyDescent="0.25">
      <c r="A25" s="61"/>
      <c r="B25" s="61"/>
      <c r="C25" s="61"/>
    </row>
    <row r="26" spans="1:3" ht="15" customHeight="1" x14ac:dyDescent="0.25"/>
    <row r="27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BC36"/>
  <sheetViews>
    <sheetView zoomScaleNormal="100" workbookViewId="0">
      <pane xSplit="3" ySplit="7" topLeftCell="D9" activePane="bottomRight" state="frozen"/>
      <selection activeCell="A17" sqref="A17"/>
      <selection pane="topRight" activeCell="A17" sqref="A17"/>
      <selection pane="bottomLeft" activeCell="A17" sqref="A17"/>
      <selection pane="bottomRight" activeCell="P3" sqref="P3:S36"/>
    </sheetView>
  </sheetViews>
  <sheetFormatPr defaultColWidth="9.140625" defaultRowHeight="12.75" x14ac:dyDescent="0.2"/>
  <cols>
    <col min="1" max="1" width="6.7109375" style="122" customWidth="1"/>
    <col min="2" max="2" width="41" style="122" customWidth="1"/>
    <col min="3" max="3" width="10.7109375" style="122" customWidth="1"/>
    <col min="4" max="4" width="11" style="122" customWidth="1"/>
    <col min="5" max="6" width="12.28515625" style="122" customWidth="1"/>
    <col min="7" max="7" width="10.7109375" style="122" customWidth="1"/>
    <col min="8" max="8" width="11.140625" style="122" customWidth="1"/>
    <col min="9" max="10" width="12.5703125" style="122" customWidth="1"/>
    <col min="11" max="11" width="11.140625" style="122" customWidth="1"/>
    <col min="12" max="12" width="11.28515625" style="122" customWidth="1"/>
    <col min="13" max="14" width="12.42578125" style="122" customWidth="1"/>
    <col min="15" max="15" width="10.85546875" style="122" customWidth="1"/>
    <col min="16" max="16" width="11.5703125" style="122" customWidth="1"/>
    <col min="17" max="18" width="11.85546875" style="122" customWidth="1"/>
    <col min="19" max="20" width="11.140625" style="122" customWidth="1"/>
    <col min="21" max="22" width="12.28515625" style="122" customWidth="1"/>
    <col min="23" max="23" width="10.28515625" style="122" customWidth="1"/>
    <col min="24" max="24" width="10.85546875" style="122" customWidth="1"/>
    <col min="25" max="26" width="12.42578125" style="122" customWidth="1"/>
    <col min="27" max="27" width="10.5703125" style="122" customWidth="1"/>
    <col min="28" max="28" width="10.42578125" style="122" customWidth="1"/>
    <col min="29" max="30" width="12.7109375" style="122" customWidth="1"/>
    <col min="31" max="31" width="10.7109375" style="122" customWidth="1"/>
    <col min="32" max="32" width="10.28515625" style="122" customWidth="1"/>
    <col min="33" max="34" width="12.5703125" style="122" customWidth="1"/>
    <col min="35" max="36" width="10.5703125" style="122" customWidth="1"/>
    <col min="37" max="38" width="12.85546875" style="122" customWidth="1"/>
    <col min="39" max="39" width="10.5703125" style="122" customWidth="1"/>
    <col min="40" max="40" width="10.42578125" style="122" customWidth="1"/>
    <col min="41" max="42" width="11.5703125" style="122" customWidth="1"/>
    <col min="43" max="43" width="10.7109375" style="122" customWidth="1"/>
    <col min="44" max="44" width="11.140625" style="122" customWidth="1"/>
    <col min="45" max="47" width="10.85546875" style="122" customWidth="1"/>
    <col min="48" max="51" width="11.85546875" style="122" customWidth="1"/>
    <col min="52" max="55" width="11.42578125" style="122" customWidth="1"/>
    <col min="56" max="16384" width="9.140625" style="122"/>
  </cols>
  <sheetData>
    <row r="1" spans="1:55" s="81" customFormat="1" ht="18.75" x14ac:dyDescent="0.3">
      <c r="A1" s="292" t="s">
        <v>92</v>
      </c>
      <c r="B1" s="292"/>
      <c r="C1" s="292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</row>
    <row r="2" spans="1:55" s="81" customFormat="1" ht="18.75" x14ac:dyDescent="0.3">
      <c r="A2" s="294" t="s">
        <v>93</v>
      </c>
      <c r="B2" s="297" t="s">
        <v>94</v>
      </c>
      <c r="C2" s="297" t="s">
        <v>30</v>
      </c>
      <c r="D2" s="336" t="s">
        <v>95</v>
      </c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8"/>
    </row>
    <row r="3" spans="1:55" s="82" customFormat="1" ht="14.25" customHeight="1" x14ac:dyDescent="0.2">
      <c r="A3" s="295"/>
      <c r="B3" s="297"/>
      <c r="C3" s="297"/>
      <c r="D3" s="298" t="s">
        <v>135</v>
      </c>
      <c r="E3" s="299"/>
      <c r="F3" s="299"/>
      <c r="G3" s="299"/>
      <c r="H3" s="298" t="s">
        <v>134</v>
      </c>
      <c r="I3" s="299"/>
      <c r="J3" s="299"/>
      <c r="K3" s="299"/>
      <c r="L3" s="298" t="s">
        <v>136</v>
      </c>
      <c r="M3" s="299"/>
      <c r="N3" s="299"/>
      <c r="O3" s="299"/>
      <c r="P3" s="298" t="s">
        <v>137</v>
      </c>
      <c r="Q3" s="299"/>
      <c r="R3" s="299"/>
      <c r="S3" s="300"/>
      <c r="T3" s="298" t="s">
        <v>138</v>
      </c>
      <c r="U3" s="299"/>
      <c r="V3" s="299"/>
      <c r="W3" s="299"/>
      <c r="X3" s="298" t="s">
        <v>139</v>
      </c>
      <c r="Y3" s="299"/>
      <c r="Z3" s="299"/>
      <c r="AA3" s="300"/>
      <c r="AB3" s="298" t="s">
        <v>140</v>
      </c>
      <c r="AC3" s="299"/>
      <c r="AD3" s="299"/>
      <c r="AE3" s="300"/>
      <c r="AF3" s="298" t="s">
        <v>141</v>
      </c>
      <c r="AG3" s="299"/>
      <c r="AH3" s="299"/>
      <c r="AI3" s="300"/>
      <c r="AJ3" s="298" t="s">
        <v>142</v>
      </c>
      <c r="AK3" s="299"/>
      <c r="AL3" s="299"/>
      <c r="AM3" s="300"/>
      <c r="AN3" s="298" t="s">
        <v>143</v>
      </c>
      <c r="AO3" s="299"/>
      <c r="AP3" s="299"/>
      <c r="AQ3" s="300"/>
      <c r="AR3" s="298" t="s">
        <v>144</v>
      </c>
      <c r="AS3" s="299"/>
      <c r="AT3" s="299"/>
      <c r="AU3" s="300"/>
      <c r="AV3" s="298" t="s">
        <v>145</v>
      </c>
      <c r="AW3" s="299"/>
      <c r="AX3" s="299"/>
      <c r="AY3" s="300"/>
      <c r="AZ3" s="298" t="s">
        <v>146</v>
      </c>
      <c r="BA3" s="299"/>
      <c r="BB3" s="299"/>
      <c r="BC3" s="300"/>
    </row>
    <row r="4" spans="1:55" s="82" customFormat="1" ht="15" customHeight="1" x14ac:dyDescent="0.2">
      <c r="A4" s="295"/>
      <c r="B4" s="297"/>
      <c r="C4" s="297"/>
      <c r="D4" s="304" t="s">
        <v>149</v>
      </c>
      <c r="E4" s="304"/>
      <c r="F4" s="304"/>
      <c r="G4" s="305"/>
      <c r="H4" s="306" t="str">
        <f>D4</f>
        <v>2019 год</v>
      </c>
      <c r="I4" s="307"/>
      <c r="J4" s="307"/>
      <c r="K4" s="308"/>
      <c r="L4" s="309" t="str">
        <f>H4</f>
        <v>2019 год</v>
      </c>
      <c r="M4" s="310"/>
      <c r="N4" s="310"/>
      <c r="O4" s="311"/>
      <c r="P4" s="312" t="str">
        <f>L4</f>
        <v>2019 год</v>
      </c>
      <c r="Q4" s="313"/>
      <c r="R4" s="313"/>
      <c r="S4" s="314"/>
      <c r="T4" s="315" t="str">
        <f>P4</f>
        <v>2019 год</v>
      </c>
      <c r="U4" s="316"/>
      <c r="V4" s="316"/>
      <c r="W4" s="317"/>
      <c r="X4" s="318" t="str">
        <f>T4</f>
        <v>2019 год</v>
      </c>
      <c r="Y4" s="319"/>
      <c r="Z4" s="319"/>
      <c r="AA4" s="320"/>
      <c r="AB4" s="318" t="str">
        <f>X4</f>
        <v>2019 год</v>
      </c>
      <c r="AC4" s="319"/>
      <c r="AD4" s="319"/>
      <c r="AE4" s="320"/>
      <c r="AF4" s="318" t="str">
        <f>AB4</f>
        <v>2019 год</v>
      </c>
      <c r="AG4" s="319"/>
      <c r="AH4" s="319"/>
      <c r="AI4" s="320"/>
      <c r="AJ4" s="318" t="str">
        <f>AF4</f>
        <v>2019 год</v>
      </c>
      <c r="AK4" s="319"/>
      <c r="AL4" s="319"/>
      <c r="AM4" s="320"/>
      <c r="AN4" s="318" t="str">
        <f>AJ4</f>
        <v>2019 год</v>
      </c>
      <c r="AO4" s="319"/>
      <c r="AP4" s="319"/>
      <c r="AQ4" s="320"/>
      <c r="AR4" s="318" t="str">
        <f>AN4</f>
        <v>2019 год</v>
      </c>
      <c r="AS4" s="319"/>
      <c r="AT4" s="319"/>
      <c r="AU4" s="320"/>
      <c r="AV4" s="318" t="str">
        <f>AR4</f>
        <v>2019 год</v>
      </c>
      <c r="AW4" s="319"/>
      <c r="AX4" s="319"/>
      <c r="AY4" s="320"/>
      <c r="AZ4" s="318" t="str">
        <f>AV4</f>
        <v>2019 год</v>
      </c>
      <c r="BA4" s="319"/>
      <c r="BB4" s="319"/>
      <c r="BC4" s="320"/>
    </row>
    <row r="5" spans="1:55" s="82" customFormat="1" ht="15" customHeight="1" x14ac:dyDescent="0.2">
      <c r="A5" s="295"/>
      <c r="B5" s="297"/>
      <c r="C5" s="297"/>
      <c r="D5" s="83" t="s">
        <v>82</v>
      </c>
      <c r="E5" s="321" t="s">
        <v>83</v>
      </c>
      <c r="F5" s="322"/>
      <c r="G5" s="323"/>
      <c r="H5" s="85" t="s">
        <v>82</v>
      </c>
      <c r="I5" s="324" t="s">
        <v>83</v>
      </c>
      <c r="J5" s="325"/>
      <c r="K5" s="326"/>
      <c r="L5" s="86" t="s">
        <v>82</v>
      </c>
      <c r="M5" s="327" t="s">
        <v>83</v>
      </c>
      <c r="N5" s="328"/>
      <c r="O5" s="329"/>
      <c r="P5" s="87" t="s">
        <v>82</v>
      </c>
      <c r="Q5" s="330" t="s">
        <v>83</v>
      </c>
      <c r="R5" s="331"/>
      <c r="S5" s="332"/>
      <c r="T5" s="88" t="s">
        <v>82</v>
      </c>
      <c r="U5" s="333" t="s">
        <v>83</v>
      </c>
      <c r="V5" s="334"/>
      <c r="W5" s="335"/>
      <c r="X5" s="89" t="s">
        <v>82</v>
      </c>
      <c r="Y5" s="301" t="s">
        <v>83</v>
      </c>
      <c r="Z5" s="302"/>
      <c r="AA5" s="303"/>
      <c r="AB5" s="89" t="s">
        <v>82</v>
      </c>
      <c r="AC5" s="301" t="s">
        <v>83</v>
      </c>
      <c r="AD5" s="302"/>
      <c r="AE5" s="303"/>
      <c r="AF5" s="89" t="s">
        <v>82</v>
      </c>
      <c r="AG5" s="301" t="s">
        <v>83</v>
      </c>
      <c r="AH5" s="302"/>
      <c r="AI5" s="303"/>
      <c r="AJ5" s="89" t="s">
        <v>82</v>
      </c>
      <c r="AK5" s="301" t="s">
        <v>83</v>
      </c>
      <c r="AL5" s="302"/>
      <c r="AM5" s="303"/>
      <c r="AN5" s="89" t="s">
        <v>82</v>
      </c>
      <c r="AO5" s="301" t="s">
        <v>83</v>
      </c>
      <c r="AP5" s="302"/>
      <c r="AQ5" s="303"/>
      <c r="AR5" s="89" t="s">
        <v>82</v>
      </c>
      <c r="AS5" s="301" t="s">
        <v>83</v>
      </c>
      <c r="AT5" s="302"/>
      <c r="AU5" s="303"/>
      <c r="AV5" s="89" t="s">
        <v>82</v>
      </c>
      <c r="AW5" s="301" t="s">
        <v>83</v>
      </c>
      <c r="AX5" s="302"/>
      <c r="AY5" s="303"/>
      <c r="AZ5" s="89" t="s">
        <v>82</v>
      </c>
      <c r="BA5" s="301" t="s">
        <v>83</v>
      </c>
      <c r="BB5" s="302"/>
      <c r="BC5" s="303"/>
    </row>
    <row r="6" spans="1:55" s="82" customFormat="1" ht="30" x14ac:dyDescent="0.2">
      <c r="A6" s="296"/>
      <c r="B6" s="297"/>
      <c r="C6" s="297"/>
      <c r="D6" s="83" t="s">
        <v>96</v>
      </c>
      <c r="E6" s="84" t="s">
        <v>97</v>
      </c>
      <c r="F6" s="84" t="s">
        <v>98</v>
      </c>
      <c r="G6" s="84" t="s">
        <v>96</v>
      </c>
      <c r="H6" s="85" t="s">
        <v>96</v>
      </c>
      <c r="I6" s="85" t="s">
        <v>97</v>
      </c>
      <c r="J6" s="85" t="s">
        <v>98</v>
      </c>
      <c r="K6" s="85" t="s">
        <v>96</v>
      </c>
      <c r="L6" s="86" t="s">
        <v>96</v>
      </c>
      <c r="M6" s="86" t="s">
        <v>97</v>
      </c>
      <c r="N6" s="86" t="s">
        <v>98</v>
      </c>
      <c r="O6" s="86" t="s">
        <v>96</v>
      </c>
      <c r="P6" s="87" t="s">
        <v>96</v>
      </c>
      <c r="Q6" s="87" t="s">
        <v>97</v>
      </c>
      <c r="R6" s="87" t="s">
        <v>98</v>
      </c>
      <c r="S6" s="87" t="s">
        <v>96</v>
      </c>
      <c r="T6" s="88" t="s">
        <v>96</v>
      </c>
      <c r="U6" s="88" t="s">
        <v>97</v>
      </c>
      <c r="V6" s="88" t="s">
        <v>98</v>
      </c>
      <c r="W6" s="88" t="s">
        <v>96</v>
      </c>
      <c r="X6" s="89" t="s">
        <v>96</v>
      </c>
      <c r="Y6" s="89" t="s">
        <v>97</v>
      </c>
      <c r="Z6" s="89" t="s">
        <v>98</v>
      </c>
      <c r="AA6" s="89" t="s">
        <v>96</v>
      </c>
      <c r="AB6" s="89" t="s">
        <v>96</v>
      </c>
      <c r="AC6" s="89" t="s">
        <v>97</v>
      </c>
      <c r="AD6" s="89" t="s">
        <v>98</v>
      </c>
      <c r="AE6" s="89" t="s">
        <v>96</v>
      </c>
      <c r="AF6" s="89" t="s">
        <v>96</v>
      </c>
      <c r="AG6" s="89" t="s">
        <v>97</v>
      </c>
      <c r="AH6" s="89" t="s">
        <v>98</v>
      </c>
      <c r="AI6" s="89" t="s">
        <v>96</v>
      </c>
      <c r="AJ6" s="89" t="s">
        <v>96</v>
      </c>
      <c r="AK6" s="89" t="s">
        <v>97</v>
      </c>
      <c r="AL6" s="89" t="s">
        <v>98</v>
      </c>
      <c r="AM6" s="89" t="s">
        <v>96</v>
      </c>
      <c r="AN6" s="89" t="s">
        <v>96</v>
      </c>
      <c r="AO6" s="89" t="s">
        <v>97</v>
      </c>
      <c r="AP6" s="89" t="s">
        <v>98</v>
      </c>
      <c r="AQ6" s="89" t="s">
        <v>96</v>
      </c>
      <c r="AR6" s="89" t="s">
        <v>96</v>
      </c>
      <c r="AS6" s="89" t="s">
        <v>97</v>
      </c>
      <c r="AT6" s="89" t="s">
        <v>98</v>
      </c>
      <c r="AU6" s="89" t="s">
        <v>96</v>
      </c>
      <c r="AV6" s="89" t="s">
        <v>96</v>
      </c>
      <c r="AW6" s="89" t="s">
        <v>97</v>
      </c>
      <c r="AX6" s="89" t="s">
        <v>98</v>
      </c>
      <c r="AY6" s="89" t="s">
        <v>96</v>
      </c>
      <c r="AZ6" s="89" t="s">
        <v>96</v>
      </c>
      <c r="BA6" s="89" t="s">
        <v>97</v>
      </c>
      <c r="BB6" s="89" t="s">
        <v>98</v>
      </c>
      <c r="BC6" s="89" t="s">
        <v>96</v>
      </c>
    </row>
    <row r="7" spans="1:55" s="91" customFormat="1" ht="15" x14ac:dyDescent="0.2">
      <c r="A7" s="284">
        <v>1</v>
      </c>
      <c r="B7" s="284">
        <f>A7+1</f>
        <v>2</v>
      </c>
      <c r="C7" s="90">
        <f t="shared" ref="C7:BC7" si="0">B7+1</f>
        <v>3</v>
      </c>
      <c r="D7" s="90">
        <f t="shared" si="0"/>
        <v>4</v>
      </c>
      <c r="E7" s="90">
        <f t="shared" si="0"/>
        <v>5</v>
      </c>
      <c r="F7" s="90">
        <f t="shared" si="0"/>
        <v>6</v>
      </c>
      <c r="G7" s="90">
        <f t="shared" si="0"/>
        <v>7</v>
      </c>
      <c r="H7" s="90">
        <f t="shared" si="0"/>
        <v>8</v>
      </c>
      <c r="I7" s="90">
        <f t="shared" si="0"/>
        <v>9</v>
      </c>
      <c r="J7" s="90">
        <f t="shared" si="0"/>
        <v>10</v>
      </c>
      <c r="K7" s="90">
        <f t="shared" si="0"/>
        <v>11</v>
      </c>
      <c r="L7" s="90">
        <f t="shared" si="0"/>
        <v>12</v>
      </c>
      <c r="M7" s="90">
        <f t="shared" si="0"/>
        <v>13</v>
      </c>
      <c r="N7" s="90">
        <f t="shared" si="0"/>
        <v>14</v>
      </c>
      <c r="O7" s="90">
        <f t="shared" si="0"/>
        <v>15</v>
      </c>
      <c r="P7" s="284">
        <f t="shared" si="0"/>
        <v>16</v>
      </c>
      <c r="Q7" s="284">
        <f t="shared" si="0"/>
        <v>17</v>
      </c>
      <c r="R7" s="284">
        <f t="shared" si="0"/>
        <v>18</v>
      </c>
      <c r="S7" s="284">
        <f t="shared" si="0"/>
        <v>19</v>
      </c>
      <c r="T7" s="90">
        <f t="shared" si="0"/>
        <v>20</v>
      </c>
      <c r="U7" s="90">
        <f t="shared" si="0"/>
        <v>21</v>
      </c>
      <c r="V7" s="90">
        <f t="shared" si="0"/>
        <v>22</v>
      </c>
      <c r="W7" s="90">
        <f t="shared" si="0"/>
        <v>23</v>
      </c>
      <c r="X7" s="90">
        <f t="shared" si="0"/>
        <v>24</v>
      </c>
      <c r="Y7" s="90">
        <f t="shared" si="0"/>
        <v>25</v>
      </c>
      <c r="Z7" s="90">
        <f t="shared" si="0"/>
        <v>26</v>
      </c>
      <c r="AA7" s="90">
        <f t="shared" si="0"/>
        <v>27</v>
      </c>
      <c r="AB7" s="90">
        <f t="shared" si="0"/>
        <v>28</v>
      </c>
      <c r="AC7" s="90">
        <f t="shared" si="0"/>
        <v>29</v>
      </c>
      <c r="AD7" s="90">
        <f t="shared" si="0"/>
        <v>30</v>
      </c>
      <c r="AE7" s="90">
        <f t="shared" si="0"/>
        <v>31</v>
      </c>
      <c r="AF7" s="284">
        <f t="shared" si="0"/>
        <v>32</v>
      </c>
      <c r="AG7" s="284">
        <f t="shared" si="0"/>
        <v>33</v>
      </c>
      <c r="AH7" s="284">
        <f t="shared" si="0"/>
        <v>34</v>
      </c>
      <c r="AI7" s="284">
        <f t="shared" si="0"/>
        <v>35</v>
      </c>
      <c r="AJ7" s="90">
        <f t="shared" si="0"/>
        <v>36</v>
      </c>
      <c r="AK7" s="90">
        <f t="shared" si="0"/>
        <v>37</v>
      </c>
      <c r="AL7" s="90">
        <f t="shared" si="0"/>
        <v>38</v>
      </c>
      <c r="AM7" s="90">
        <f t="shared" si="0"/>
        <v>39</v>
      </c>
      <c r="AN7" s="90">
        <f t="shared" si="0"/>
        <v>40</v>
      </c>
      <c r="AO7" s="90">
        <f t="shared" si="0"/>
        <v>41</v>
      </c>
      <c r="AP7" s="90">
        <f t="shared" si="0"/>
        <v>42</v>
      </c>
      <c r="AQ7" s="90">
        <f t="shared" si="0"/>
        <v>43</v>
      </c>
      <c r="AR7" s="90">
        <f t="shared" si="0"/>
        <v>44</v>
      </c>
      <c r="AS7" s="90">
        <f t="shared" si="0"/>
        <v>45</v>
      </c>
      <c r="AT7" s="90">
        <f t="shared" si="0"/>
        <v>46</v>
      </c>
      <c r="AU7" s="90">
        <f t="shared" si="0"/>
        <v>47</v>
      </c>
      <c r="AV7" s="90">
        <f t="shared" si="0"/>
        <v>48</v>
      </c>
      <c r="AW7" s="90">
        <f t="shared" si="0"/>
        <v>49</v>
      </c>
      <c r="AX7" s="90">
        <f t="shared" si="0"/>
        <v>50</v>
      </c>
      <c r="AY7" s="90">
        <f t="shared" si="0"/>
        <v>51</v>
      </c>
      <c r="AZ7" s="90">
        <f t="shared" si="0"/>
        <v>52</v>
      </c>
      <c r="BA7" s="90">
        <f t="shared" si="0"/>
        <v>53</v>
      </c>
      <c r="BB7" s="90">
        <f t="shared" si="0"/>
        <v>54</v>
      </c>
      <c r="BC7" s="90">
        <f t="shared" si="0"/>
        <v>55</v>
      </c>
    </row>
    <row r="8" spans="1:55" s="91" customFormat="1" ht="28.5" x14ac:dyDescent="0.2">
      <c r="A8" s="375" t="s">
        <v>5</v>
      </c>
      <c r="B8" s="92" t="s">
        <v>99</v>
      </c>
      <c r="C8" s="93" t="s">
        <v>100</v>
      </c>
      <c r="D8" s="162">
        <f t="shared" ref="D8:G8" si="1">D9+D10</f>
        <v>30934.170944366961</v>
      </c>
      <c r="E8" s="163">
        <f t="shared" si="1"/>
        <v>15154.545</v>
      </c>
      <c r="F8" s="164">
        <f t="shared" si="1"/>
        <v>14090.2</v>
      </c>
      <c r="G8" s="165">
        <f t="shared" si="1"/>
        <v>29244.745000000003</v>
      </c>
      <c r="H8" s="162">
        <f t="shared" ref="H8:K8" si="2">H9+H10</f>
        <v>97254.11500000002</v>
      </c>
      <c r="I8" s="163">
        <f t="shared" si="2"/>
        <v>62067</v>
      </c>
      <c r="J8" s="164">
        <f t="shared" si="2"/>
        <v>58500</v>
      </c>
      <c r="K8" s="165">
        <f t="shared" si="2"/>
        <v>120567</v>
      </c>
      <c r="L8" s="162">
        <f t="shared" ref="L8:S8" si="3">L9+L10</f>
        <v>18581.029870999999</v>
      </c>
      <c r="M8" s="163">
        <f t="shared" si="3"/>
        <v>18612</v>
      </c>
      <c r="N8" s="164">
        <f t="shared" si="3"/>
        <v>12698.36</v>
      </c>
      <c r="O8" s="165">
        <f t="shared" si="3"/>
        <v>31310.36</v>
      </c>
      <c r="P8" s="162">
        <f t="shared" si="3"/>
        <v>130322.96163823678</v>
      </c>
      <c r="Q8" s="163">
        <f t="shared" si="3"/>
        <v>58157.714270999997</v>
      </c>
      <c r="R8" s="164">
        <f t="shared" si="3"/>
        <v>86607.223181999987</v>
      </c>
      <c r="S8" s="184">
        <f t="shared" si="3"/>
        <v>144764.93745299999</v>
      </c>
      <c r="T8" s="162">
        <f t="shared" ref="T8:AA8" si="4">T9+T10</f>
        <v>22973.160748000002</v>
      </c>
      <c r="U8" s="163">
        <f>U9+U10</f>
        <v>10354.143630999999</v>
      </c>
      <c r="V8" s="164">
        <f t="shared" si="4"/>
        <v>9365.1563690000003</v>
      </c>
      <c r="W8" s="165">
        <f t="shared" si="4"/>
        <v>19719.3</v>
      </c>
      <c r="X8" s="162">
        <f t="shared" si="4"/>
        <v>15156.128051</v>
      </c>
      <c r="Y8" s="163">
        <f t="shared" si="4"/>
        <v>6926.6744929999986</v>
      </c>
      <c r="Z8" s="164">
        <f t="shared" si="4"/>
        <v>7003.4730970000001</v>
      </c>
      <c r="AA8" s="165">
        <f t="shared" si="4"/>
        <v>13930.147589999999</v>
      </c>
      <c r="AB8" s="162">
        <f t="shared" ref="AB8:AE8" si="5">AB9+AB10</f>
        <v>17168.541927918552</v>
      </c>
      <c r="AC8" s="163">
        <f t="shared" si="5"/>
        <v>6927.5069999999996</v>
      </c>
      <c r="AD8" s="164">
        <f t="shared" si="5"/>
        <v>7315.5199999999995</v>
      </c>
      <c r="AE8" s="165">
        <f t="shared" si="5"/>
        <v>14243.026999999998</v>
      </c>
      <c r="AF8" s="162">
        <f t="shared" ref="AF8:AI8" si="6">AF9+AF10</f>
        <v>6017.9216710716082</v>
      </c>
      <c r="AG8" s="163">
        <f t="shared" si="6"/>
        <v>2699</v>
      </c>
      <c r="AH8" s="164">
        <f t="shared" si="6"/>
        <v>2501</v>
      </c>
      <c r="AI8" s="184">
        <f t="shared" si="6"/>
        <v>5200</v>
      </c>
      <c r="AJ8" s="162">
        <f t="shared" ref="AJ8:AM8" si="7">AJ9+AJ10</f>
        <v>50056.937977305526</v>
      </c>
      <c r="AK8" s="163">
        <f t="shared" si="7"/>
        <v>25628</v>
      </c>
      <c r="AL8" s="164">
        <f t="shared" si="7"/>
        <v>22443</v>
      </c>
      <c r="AM8" s="165">
        <f t="shared" si="7"/>
        <v>48071</v>
      </c>
      <c r="AN8" s="162">
        <f t="shared" ref="AN8:AQ8" si="8">AN9+AN10</f>
        <v>33066.128266</v>
      </c>
      <c r="AO8" s="163">
        <f t="shared" si="8"/>
        <v>17619</v>
      </c>
      <c r="AP8" s="164">
        <f t="shared" si="8"/>
        <v>15549</v>
      </c>
      <c r="AQ8" s="165">
        <f t="shared" si="8"/>
        <v>33168</v>
      </c>
      <c r="AR8" s="162">
        <f t="shared" ref="AR8:AU8" si="9">AR9+AR10</f>
        <v>42357.122000000003</v>
      </c>
      <c r="AS8" s="163">
        <f t="shared" si="9"/>
        <v>17559</v>
      </c>
      <c r="AT8" s="164">
        <f t="shared" si="9"/>
        <v>17217</v>
      </c>
      <c r="AU8" s="165">
        <f t="shared" si="9"/>
        <v>34776</v>
      </c>
      <c r="AV8" s="162">
        <f t="shared" ref="AV8:AY8" si="10">AV9+AV10</f>
        <v>159300.71476</v>
      </c>
      <c r="AW8" s="163">
        <f t="shared" si="10"/>
        <v>89269</v>
      </c>
      <c r="AX8" s="164">
        <f t="shared" si="10"/>
        <v>86031</v>
      </c>
      <c r="AY8" s="165">
        <f t="shared" si="10"/>
        <v>175300</v>
      </c>
      <c r="AZ8" s="162">
        <f t="shared" ref="AZ8:BC8" si="11">AZ9+AZ10</f>
        <v>20849.27200000003</v>
      </c>
      <c r="BA8" s="163">
        <f t="shared" si="11"/>
        <v>8337</v>
      </c>
      <c r="BB8" s="164">
        <f t="shared" si="11"/>
        <v>6292</v>
      </c>
      <c r="BC8" s="184">
        <f t="shared" si="11"/>
        <v>14629</v>
      </c>
    </row>
    <row r="9" spans="1:55" s="91" customFormat="1" ht="15" x14ac:dyDescent="0.2">
      <c r="A9" s="94" t="s">
        <v>33</v>
      </c>
      <c r="B9" s="95" t="s">
        <v>101</v>
      </c>
      <c r="C9" s="96" t="s">
        <v>100</v>
      </c>
      <c r="D9" s="168">
        <v>30934.170944366961</v>
      </c>
      <c r="E9" s="259">
        <f>'[18]1П'!$H$7</f>
        <v>15154.545</v>
      </c>
      <c r="F9" s="191">
        <f>'[18]2П'!$H$7</f>
        <v>14090.2</v>
      </c>
      <c r="G9" s="191">
        <f>E9+F9</f>
        <v>29244.745000000003</v>
      </c>
      <c r="H9" s="168"/>
      <c r="I9" s="259"/>
      <c r="J9" s="191"/>
      <c r="K9" s="191"/>
      <c r="L9" s="168"/>
      <c r="M9" s="259"/>
      <c r="N9" s="191"/>
      <c r="O9" s="191"/>
      <c r="P9" s="168"/>
      <c r="Q9" s="259"/>
      <c r="R9" s="191"/>
      <c r="S9" s="195"/>
      <c r="T9" s="168"/>
      <c r="U9" s="259"/>
      <c r="V9" s="191"/>
      <c r="W9" s="191"/>
      <c r="X9" s="168"/>
      <c r="Y9" s="259"/>
      <c r="Z9" s="191"/>
      <c r="AA9" s="191"/>
      <c r="AB9" s="168"/>
      <c r="AC9" s="259"/>
      <c r="AD9" s="191"/>
      <c r="AE9" s="191"/>
      <c r="AF9" s="168">
        <v>6017.9216710716082</v>
      </c>
      <c r="AG9" s="259">
        <f>'[19]1П'!$H$7</f>
        <v>2699</v>
      </c>
      <c r="AH9" s="191">
        <f>'[19]2П'!$H$7</f>
        <v>2501</v>
      </c>
      <c r="AI9" s="195">
        <f>AG9+AH9</f>
        <v>5200</v>
      </c>
      <c r="AJ9" s="168"/>
      <c r="AK9" s="259"/>
      <c r="AL9" s="191"/>
      <c r="AM9" s="191"/>
      <c r="AN9" s="168"/>
      <c r="AO9" s="259"/>
      <c r="AP9" s="191"/>
      <c r="AQ9" s="191"/>
      <c r="AR9" s="168"/>
      <c r="AS9" s="259"/>
      <c r="AT9" s="191"/>
      <c r="AU9" s="191"/>
      <c r="AV9" s="168"/>
      <c r="AW9" s="259"/>
      <c r="AX9" s="191"/>
      <c r="AY9" s="191"/>
      <c r="AZ9" s="168">
        <v>20849.27200000003</v>
      </c>
      <c r="BA9" s="260">
        <f>('[20]1П'!$H$7)</f>
        <v>8337</v>
      </c>
      <c r="BB9" s="261">
        <f>('[20]2П'!$H$7)</f>
        <v>6292</v>
      </c>
      <c r="BC9" s="195">
        <f>BA9+BB9</f>
        <v>14629</v>
      </c>
    </row>
    <row r="10" spans="1:55" s="91" customFormat="1" ht="15" x14ac:dyDescent="0.2">
      <c r="A10" s="110" t="s">
        <v>34</v>
      </c>
      <c r="B10" s="97" t="s">
        <v>102</v>
      </c>
      <c r="C10" s="98" t="s">
        <v>100</v>
      </c>
      <c r="D10" s="167"/>
      <c r="E10" s="172"/>
      <c r="F10" s="173"/>
      <c r="G10" s="173"/>
      <c r="H10" s="167">
        <v>97254.11500000002</v>
      </c>
      <c r="I10" s="172">
        <f>'[21]1П'!$H$7</f>
        <v>62067</v>
      </c>
      <c r="J10" s="173">
        <f>'[21]2П'!$H$7</f>
        <v>58500</v>
      </c>
      <c r="K10" s="173">
        <f>I10+J10</f>
        <v>120567</v>
      </c>
      <c r="L10" s="167">
        <v>18581.029870999999</v>
      </c>
      <c r="M10" s="172">
        <f>'[22]1П'!$H$7</f>
        <v>18612</v>
      </c>
      <c r="N10" s="173">
        <f>'[22]2П'!$H$7</f>
        <v>12698.36</v>
      </c>
      <c r="O10" s="173">
        <f>M10+N10</f>
        <v>31310.36</v>
      </c>
      <c r="P10" s="167">
        <v>130322.96163823678</v>
      </c>
      <c r="Q10" s="172">
        <f>'[23]1П'!$H$7</f>
        <v>58157.714270999997</v>
      </c>
      <c r="R10" s="173">
        <f>'[23]2П'!$H$7</f>
        <v>86607.223181999987</v>
      </c>
      <c r="S10" s="186">
        <f>Q10+R10</f>
        <v>144764.93745299999</v>
      </c>
      <c r="T10" s="167">
        <v>22973.160748000002</v>
      </c>
      <c r="U10" s="266">
        <f>('[24]1П'!$H$7)+1276.843631</f>
        <v>10354.143630999999</v>
      </c>
      <c r="V10" s="267">
        <f>('[24]2П'!$H$7)-1276.843631</f>
        <v>9365.1563690000003</v>
      </c>
      <c r="W10" s="173">
        <f>U10+V10</f>
        <v>19719.3</v>
      </c>
      <c r="X10" s="167">
        <v>15156.128051</v>
      </c>
      <c r="Y10" s="172">
        <f>'[25]1П'!$H$7</f>
        <v>6926.6744929999986</v>
      </c>
      <c r="Z10" s="173">
        <f>'[25]2П'!$H$7</f>
        <v>7003.4730970000001</v>
      </c>
      <c r="AA10" s="173">
        <f>Y10+Z10</f>
        <v>13930.147589999999</v>
      </c>
      <c r="AB10" s="167">
        <v>17168.541927918552</v>
      </c>
      <c r="AC10" s="172">
        <f>'[26]1П'!$H$7</f>
        <v>6927.5069999999996</v>
      </c>
      <c r="AD10" s="173">
        <f>'[26]2П'!$H$7</f>
        <v>7315.5199999999995</v>
      </c>
      <c r="AE10" s="173">
        <f>AC10+AD10</f>
        <v>14243.026999999998</v>
      </c>
      <c r="AF10" s="167"/>
      <c r="AG10" s="172"/>
      <c r="AH10" s="173"/>
      <c r="AI10" s="186">
        <f>AG10+AH10</f>
        <v>0</v>
      </c>
      <c r="AJ10" s="167">
        <v>50056.937977305526</v>
      </c>
      <c r="AK10" s="172">
        <f>'[27]1П'!$H$7</f>
        <v>25628</v>
      </c>
      <c r="AL10" s="173">
        <f>'[27]2П'!$H$7</f>
        <v>22443</v>
      </c>
      <c r="AM10" s="173">
        <f>AK10+AL10</f>
        <v>48071</v>
      </c>
      <c r="AN10" s="167">
        <v>33066.128266</v>
      </c>
      <c r="AO10" s="172">
        <f>'[28]1П'!$H$7</f>
        <v>17619</v>
      </c>
      <c r="AP10" s="173">
        <f>'[28]2П'!$H$7</f>
        <v>15549</v>
      </c>
      <c r="AQ10" s="173">
        <f>AO10+AP10</f>
        <v>33168</v>
      </c>
      <c r="AR10" s="167">
        <v>42357.122000000003</v>
      </c>
      <c r="AS10" s="172">
        <f>'[29]1П'!$H$7</f>
        <v>17559</v>
      </c>
      <c r="AT10" s="173">
        <f>'[29]2П'!$H$7</f>
        <v>17217</v>
      </c>
      <c r="AU10" s="173">
        <f>AS10+AT10</f>
        <v>34776</v>
      </c>
      <c r="AV10" s="167">
        <v>159300.71476</v>
      </c>
      <c r="AW10" s="172">
        <f>'[30]1П'!$H$7</f>
        <v>89269</v>
      </c>
      <c r="AX10" s="173">
        <f>'[30]2П'!$H$7</f>
        <v>86031</v>
      </c>
      <c r="AY10" s="173">
        <f>AW10+AX10</f>
        <v>175300</v>
      </c>
      <c r="AZ10" s="167"/>
      <c r="BA10" s="172"/>
      <c r="BB10" s="173"/>
      <c r="BC10" s="186"/>
    </row>
    <row r="11" spans="1:55" s="91" customFormat="1" ht="28.5" x14ac:dyDescent="0.2">
      <c r="A11" s="111" t="s">
        <v>6</v>
      </c>
      <c r="B11" s="99" t="s">
        <v>103</v>
      </c>
      <c r="C11" s="98" t="s">
        <v>100</v>
      </c>
      <c r="D11" s="170"/>
      <c r="E11" s="190"/>
      <c r="F11" s="192"/>
      <c r="G11" s="171"/>
      <c r="H11" s="170">
        <v>179034.10047490627</v>
      </c>
      <c r="I11" s="190">
        <f>'[21]1П'!$H$10</f>
        <v>105486</v>
      </c>
      <c r="J11" s="192">
        <f>'[21]2П'!$H$10</f>
        <v>93551</v>
      </c>
      <c r="K11" s="192">
        <f>I11+J11</f>
        <v>199037</v>
      </c>
      <c r="L11" s="170"/>
      <c r="M11" s="190"/>
      <c r="N11" s="192"/>
      <c r="O11" s="171"/>
      <c r="P11" s="170"/>
      <c r="Q11" s="190"/>
      <c r="R11" s="192"/>
      <c r="S11" s="187"/>
      <c r="T11" s="170"/>
      <c r="U11" s="274"/>
      <c r="V11" s="275"/>
      <c r="W11" s="171"/>
      <c r="X11" s="170"/>
      <c r="Y11" s="190"/>
      <c r="Z11" s="192"/>
      <c r="AA11" s="171"/>
      <c r="AB11" s="170"/>
      <c r="AC11" s="190"/>
      <c r="AD11" s="192"/>
      <c r="AE11" s="171"/>
      <c r="AF11" s="170"/>
      <c r="AG11" s="190"/>
      <c r="AH11" s="192"/>
      <c r="AI11" s="187"/>
      <c r="AJ11" s="170"/>
      <c r="AK11" s="190"/>
      <c r="AL11" s="192"/>
      <c r="AM11" s="171"/>
      <c r="AN11" s="170"/>
      <c r="AO11" s="190"/>
      <c r="AP11" s="192"/>
      <c r="AQ11" s="171"/>
      <c r="AR11" s="170"/>
      <c r="AS11" s="190"/>
      <c r="AT11" s="192"/>
      <c r="AU11" s="171"/>
      <c r="AV11" s="170"/>
      <c r="AW11" s="190"/>
      <c r="AX11" s="192"/>
      <c r="AY11" s="171"/>
      <c r="AZ11" s="170"/>
      <c r="BA11" s="190"/>
      <c r="BB11" s="192"/>
      <c r="BC11" s="187"/>
    </row>
    <row r="12" spans="1:55" s="91" customFormat="1" ht="15" x14ac:dyDescent="0.2">
      <c r="A12" s="110" t="s">
        <v>7</v>
      </c>
      <c r="B12" s="100" t="s">
        <v>104</v>
      </c>
      <c r="C12" s="98" t="s">
        <v>100</v>
      </c>
      <c r="D12" s="174"/>
      <c r="E12" s="172"/>
      <c r="F12" s="173"/>
      <c r="G12" s="169"/>
      <c r="H12" s="167">
        <v>16069.334999999999</v>
      </c>
      <c r="I12" s="172">
        <f>'[21]1П'!$H$8</f>
        <v>43</v>
      </c>
      <c r="J12" s="173">
        <f>'[21]2П'!$H$8</f>
        <v>58.6</v>
      </c>
      <c r="K12" s="169">
        <f>I12+J12</f>
        <v>101.6</v>
      </c>
      <c r="L12" s="167">
        <v>1.5739999999999998</v>
      </c>
      <c r="M12" s="172">
        <f>'[22]1П'!$H$8</f>
        <v>3.7159999999999997</v>
      </c>
      <c r="N12" s="173">
        <f>'[22]2П'!$H$8</f>
        <v>1.8040000000000003</v>
      </c>
      <c r="O12" s="169">
        <f>M12+N12</f>
        <v>5.52</v>
      </c>
      <c r="P12" s="167">
        <v>18.192</v>
      </c>
      <c r="Q12" s="172">
        <f>'[23]1П'!$H$8</f>
        <v>6.5299999999999994</v>
      </c>
      <c r="R12" s="173">
        <f>'[23]2П'!$H$8</f>
        <v>258.51400000000001</v>
      </c>
      <c r="S12" s="186">
        <f>Q12+R12</f>
        <v>265.04399999999998</v>
      </c>
      <c r="T12" s="167"/>
      <c r="U12" s="266"/>
      <c r="V12" s="267"/>
      <c r="W12" s="169"/>
      <c r="X12" s="167"/>
      <c r="Y12" s="172"/>
      <c r="Z12" s="173"/>
      <c r="AA12" s="169">
        <f>Y12+Z12</f>
        <v>0</v>
      </c>
      <c r="AB12" s="167">
        <v>2648.7626486392742</v>
      </c>
      <c r="AC12" s="172">
        <f>'[26]1П'!$H$8</f>
        <v>994.50700000000006</v>
      </c>
      <c r="AD12" s="173">
        <f>'[26]2П'!$H$8</f>
        <v>1058.52</v>
      </c>
      <c r="AE12" s="169">
        <f>AC12+AD12</f>
        <v>2053.027</v>
      </c>
      <c r="AF12" s="167">
        <v>753.98540616856189</v>
      </c>
      <c r="AG12" s="172"/>
      <c r="AH12" s="173"/>
      <c r="AI12" s="186">
        <f>AG12+AH12</f>
        <v>0</v>
      </c>
      <c r="AJ12" s="167">
        <v>3888.422942077093</v>
      </c>
      <c r="AK12" s="172">
        <f>'[27]1П'!$H$8</f>
        <v>41.01</v>
      </c>
      <c r="AL12" s="173">
        <f>'[27]2П'!$H$8</f>
        <v>29.990000000000002</v>
      </c>
      <c r="AM12" s="169">
        <f>AK12+AL12</f>
        <v>71</v>
      </c>
      <c r="AN12" s="167"/>
      <c r="AO12" s="172"/>
      <c r="AP12" s="173"/>
      <c r="AQ12" s="169">
        <f>AO12+AP12</f>
        <v>0</v>
      </c>
      <c r="AR12" s="167"/>
      <c r="AS12" s="172"/>
      <c r="AT12" s="173"/>
      <c r="AU12" s="169">
        <f>AS12+AT12</f>
        <v>0</v>
      </c>
      <c r="AV12" s="167">
        <v>1567.354</v>
      </c>
      <c r="AW12" s="172">
        <f>'[30]1П'!$H$8</f>
        <v>525.46199999999999</v>
      </c>
      <c r="AX12" s="173">
        <f>'[30]2П'!$H$8</f>
        <v>320.642</v>
      </c>
      <c r="AY12" s="169">
        <f>AW12+AX12</f>
        <v>846.10400000000004</v>
      </c>
      <c r="AZ12" s="167"/>
      <c r="BA12" s="172"/>
      <c r="BB12" s="173"/>
      <c r="BC12" s="186"/>
    </row>
    <row r="13" spans="1:55" s="91" customFormat="1" ht="15" x14ac:dyDescent="0.2">
      <c r="A13" s="110" t="s">
        <v>8</v>
      </c>
      <c r="B13" s="100" t="s">
        <v>105</v>
      </c>
      <c r="C13" s="98" t="s">
        <v>100</v>
      </c>
      <c r="D13" s="167">
        <f t="shared" ref="D13:K13" si="12">D8+D11-D12</f>
        <v>30934.170944366961</v>
      </c>
      <c r="E13" s="172">
        <f t="shared" si="12"/>
        <v>15154.545</v>
      </c>
      <c r="F13" s="173">
        <f t="shared" si="12"/>
        <v>14090.2</v>
      </c>
      <c r="G13" s="166">
        <f t="shared" si="12"/>
        <v>29244.745000000003</v>
      </c>
      <c r="H13" s="167">
        <f t="shared" si="12"/>
        <v>260218.88047490627</v>
      </c>
      <c r="I13" s="172">
        <f t="shared" si="12"/>
        <v>167510</v>
      </c>
      <c r="J13" s="173">
        <f>J8+J11-J12</f>
        <v>151992.4</v>
      </c>
      <c r="K13" s="166">
        <f t="shared" si="12"/>
        <v>319502.40000000002</v>
      </c>
      <c r="L13" s="167">
        <f t="shared" ref="L13:S13" si="13">L8+L11-L12</f>
        <v>18579.455870999998</v>
      </c>
      <c r="M13" s="172">
        <f t="shared" si="13"/>
        <v>18608.284</v>
      </c>
      <c r="N13" s="173">
        <f t="shared" si="13"/>
        <v>12696.556</v>
      </c>
      <c r="O13" s="166">
        <f t="shared" si="13"/>
        <v>31304.84</v>
      </c>
      <c r="P13" s="167">
        <f t="shared" si="13"/>
        <v>130304.76963823679</v>
      </c>
      <c r="Q13" s="172">
        <f t="shared" si="13"/>
        <v>58151.184270999998</v>
      </c>
      <c r="R13" s="173">
        <f t="shared" si="13"/>
        <v>86348.709181999991</v>
      </c>
      <c r="S13" s="185">
        <f t="shared" si="13"/>
        <v>144499.893453</v>
      </c>
      <c r="T13" s="167">
        <f t="shared" ref="T13:AA13" si="14">T8+T11-T12</f>
        <v>22973.160748000002</v>
      </c>
      <c r="U13" s="266">
        <f t="shared" si="14"/>
        <v>10354.143630999999</v>
      </c>
      <c r="V13" s="267">
        <f t="shared" si="14"/>
        <v>9365.1563690000003</v>
      </c>
      <c r="W13" s="166">
        <f t="shared" si="14"/>
        <v>19719.3</v>
      </c>
      <c r="X13" s="167">
        <f t="shared" si="14"/>
        <v>15156.128051</v>
      </c>
      <c r="Y13" s="172">
        <f t="shared" si="14"/>
        <v>6926.6744929999986</v>
      </c>
      <c r="Z13" s="173">
        <f t="shared" si="14"/>
        <v>7003.4730970000001</v>
      </c>
      <c r="AA13" s="166">
        <f t="shared" si="14"/>
        <v>13930.147589999999</v>
      </c>
      <c r="AB13" s="167">
        <f t="shared" ref="AB13:AE13" si="15">AB8+AB11-AB12</f>
        <v>14519.779279279277</v>
      </c>
      <c r="AC13" s="172">
        <f t="shared" si="15"/>
        <v>5933</v>
      </c>
      <c r="AD13" s="173">
        <f t="shared" si="15"/>
        <v>6257</v>
      </c>
      <c r="AE13" s="166">
        <f t="shared" si="15"/>
        <v>12189.999999999998</v>
      </c>
      <c r="AF13" s="167">
        <f t="shared" ref="AF13:AI13" si="16">AF8+AF11-AF12</f>
        <v>5263.9362649030463</v>
      </c>
      <c r="AG13" s="172">
        <f t="shared" si="16"/>
        <v>2699</v>
      </c>
      <c r="AH13" s="173">
        <f t="shared" si="16"/>
        <v>2501</v>
      </c>
      <c r="AI13" s="185">
        <f t="shared" si="16"/>
        <v>5200</v>
      </c>
      <c r="AJ13" s="167">
        <f t="shared" ref="AJ13:AM13" si="17">AJ8+AJ11-AJ12</f>
        <v>46168.515035228433</v>
      </c>
      <c r="AK13" s="172">
        <f t="shared" si="17"/>
        <v>25586.99</v>
      </c>
      <c r="AL13" s="173">
        <f t="shared" si="17"/>
        <v>22413.01</v>
      </c>
      <c r="AM13" s="166">
        <f t="shared" si="17"/>
        <v>48000</v>
      </c>
      <c r="AN13" s="167">
        <f t="shared" ref="AN13:AQ13" si="18">AN8+AN11-AN12</f>
        <v>33066.128266</v>
      </c>
      <c r="AO13" s="172">
        <f t="shared" si="18"/>
        <v>17619</v>
      </c>
      <c r="AP13" s="173">
        <f t="shared" si="18"/>
        <v>15549</v>
      </c>
      <c r="AQ13" s="166">
        <f t="shared" si="18"/>
        <v>33168</v>
      </c>
      <c r="AR13" s="167">
        <f t="shared" ref="AR13:AU13" si="19">AR8+AR11-AR12</f>
        <v>42357.122000000003</v>
      </c>
      <c r="AS13" s="172">
        <f t="shared" si="19"/>
        <v>17559</v>
      </c>
      <c r="AT13" s="173">
        <f t="shared" si="19"/>
        <v>17217</v>
      </c>
      <c r="AU13" s="166">
        <f t="shared" si="19"/>
        <v>34776</v>
      </c>
      <c r="AV13" s="167">
        <f t="shared" ref="AV13:AY13" si="20">AV8+AV11-AV12</f>
        <v>157733.36076000001</v>
      </c>
      <c r="AW13" s="172">
        <f t="shared" si="20"/>
        <v>88743.538</v>
      </c>
      <c r="AX13" s="173">
        <f t="shared" si="20"/>
        <v>85710.357999999993</v>
      </c>
      <c r="AY13" s="166">
        <f t="shared" si="20"/>
        <v>174453.89600000001</v>
      </c>
      <c r="AZ13" s="167">
        <f t="shared" ref="AZ13:BC13" si="21">AZ8+AZ11-AZ12</f>
        <v>20849.27200000003</v>
      </c>
      <c r="BA13" s="172">
        <f t="shared" si="21"/>
        <v>8337</v>
      </c>
      <c r="BB13" s="173">
        <f t="shared" si="21"/>
        <v>6292</v>
      </c>
      <c r="BC13" s="185">
        <f t="shared" si="21"/>
        <v>14629</v>
      </c>
    </row>
    <row r="14" spans="1:55" s="91" customFormat="1" ht="15" x14ac:dyDescent="0.2">
      <c r="A14" s="110" t="s">
        <v>9</v>
      </c>
      <c r="B14" s="100" t="s">
        <v>106</v>
      </c>
      <c r="C14" s="98" t="s">
        <v>100</v>
      </c>
      <c r="D14" s="167">
        <f t="shared" ref="D14:K14" si="22">D15+D16</f>
        <v>2366.7730000000001</v>
      </c>
      <c r="E14" s="172">
        <f t="shared" si="22"/>
        <v>203.73681000000002</v>
      </c>
      <c r="F14" s="173">
        <f t="shared" si="22"/>
        <v>36.04450000000007</v>
      </c>
      <c r="G14" s="169">
        <f t="shared" si="22"/>
        <v>239.78131000000008</v>
      </c>
      <c r="H14" s="167">
        <f t="shared" si="22"/>
        <v>8709.5259999999998</v>
      </c>
      <c r="I14" s="172">
        <f t="shared" si="22"/>
        <v>25832.546438000001</v>
      </c>
      <c r="J14" s="173">
        <f t="shared" si="22"/>
        <v>20662.562590000001</v>
      </c>
      <c r="K14" s="169">
        <f t="shared" si="22"/>
        <v>46495.109028000006</v>
      </c>
      <c r="L14" s="167">
        <f t="shared" ref="L14:S14" si="23">L15+L16</f>
        <v>697.65800000000002</v>
      </c>
      <c r="M14" s="172">
        <f t="shared" si="23"/>
        <v>5311.6828859999987</v>
      </c>
      <c r="N14" s="173">
        <f t="shared" si="23"/>
        <v>5854.673882</v>
      </c>
      <c r="O14" s="169">
        <f t="shared" si="23"/>
        <v>11166.356767999998</v>
      </c>
      <c r="P14" s="167">
        <f t="shared" si="23"/>
        <v>4130.6610000000001</v>
      </c>
      <c r="Q14" s="172">
        <f t="shared" si="23"/>
        <v>1803.1379999999999</v>
      </c>
      <c r="R14" s="173">
        <f t="shared" si="23"/>
        <v>5592.5280570000004</v>
      </c>
      <c r="S14" s="186">
        <f t="shared" si="23"/>
        <v>7395.6660570000004</v>
      </c>
      <c r="T14" s="167">
        <f t="shared" ref="T14:AA14" si="24">T15+T16</f>
        <v>1421.12</v>
      </c>
      <c r="U14" s="266">
        <f t="shared" si="24"/>
        <v>0</v>
      </c>
      <c r="V14" s="267">
        <f t="shared" si="24"/>
        <v>327.91591300000005</v>
      </c>
      <c r="W14" s="169">
        <f t="shared" si="24"/>
        <v>327.91591300000005</v>
      </c>
      <c r="X14" s="167">
        <f t="shared" si="24"/>
        <v>375.11399999999998</v>
      </c>
      <c r="Y14" s="172">
        <f t="shared" si="24"/>
        <v>168.94300000000001</v>
      </c>
      <c r="Z14" s="173">
        <f t="shared" si="24"/>
        <v>170.81599999999997</v>
      </c>
      <c r="AA14" s="169">
        <f t="shared" si="24"/>
        <v>339.75900000000001</v>
      </c>
      <c r="AB14" s="167">
        <f t="shared" ref="AB14:AE14" si="25">AB15+AB16</f>
        <v>1626.215279279279</v>
      </c>
      <c r="AC14" s="172">
        <f t="shared" si="25"/>
        <v>149.935</v>
      </c>
      <c r="AD14" s="173">
        <f t="shared" si="25"/>
        <v>112.57999999999998</v>
      </c>
      <c r="AE14" s="169">
        <f t="shared" si="25"/>
        <v>262.51499999999999</v>
      </c>
      <c r="AF14" s="167">
        <f t="shared" ref="AF14:AI14" si="26">AF15+AF16</f>
        <v>926.87389752412832</v>
      </c>
      <c r="AG14" s="172">
        <f t="shared" si="26"/>
        <v>141.02700000000002</v>
      </c>
      <c r="AH14" s="173">
        <f t="shared" si="26"/>
        <v>163.32400000000001</v>
      </c>
      <c r="AI14" s="186">
        <f t="shared" si="26"/>
        <v>304.351</v>
      </c>
      <c r="AJ14" s="167">
        <f t="shared" ref="AJ14:AM14" si="27">AJ15+AJ16</f>
        <v>4493.1198832284308</v>
      </c>
      <c r="AK14" s="172">
        <f t="shared" si="27"/>
        <v>5775.858185</v>
      </c>
      <c r="AL14" s="173">
        <f t="shared" si="27"/>
        <v>3631.5656039999999</v>
      </c>
      <c r="AM14" s="169">
        <f t="shared" si="27"/>
        <v>9407.4237890000004</v>
      </c>
      <c r="AN14" s="167">
        <f t="shared" ref="AN14:AQ14" si="28">AN15+AN16</f>
        <v>3050.681</v>
      </c>
      <c r="AO14" s="172">
        <f t="shared" si="28"/>
        <v>763.83127000000002</v>
      </c>
      <c r="AP14" s="173">
        <f t="shared" si="28"/>
        <v>761.06493900000009</v>
      </c>
      <c r="AQ14" s="169">
        <f t="shared" si="28"/>
        <v>1524.896209</v>
      </c>
      <c r="AR14" s="167">
        <f t="shared" ref="AR14:AU14" si="29">AR15+AR16</f>
        <v>10629.096</v>
      </c>
      <c r="AS14" s="172">
        <f t="shared" si="29"/>
        <v>768.54753600000004</v>
      </c>
      <c r="AT14" s="173">
        <f t="shared" si="29"/>
        <v>489.03571000000005</v>
      </c>
      <c r="AU14" s="169">
        <f t="shared" si="29"/>
        <v>1257.5832460000001</v>
      </c>
      <c r="AV14" s="167">
        <f t="shared" ref="AV14:AY14" si="30">AV15+AV16</f>
        <v>8151.66</v>
      </c>
      <c r="AW14" s="172">
        <f t="shared" si="30"/>
        <v>4746.9786490000006</v>
      </c>
      <c r="AX14" s="173">
        <f t="shared" si="30"/>
        <v>9288.1171969999996</v>
      </c>
      <c r="AY14" s="169">
        <f t="shared" si="30"/>
        <v>14035.095846</v>
      </c>
      <c r="AZ14" s="167">
        <f t="shared" ref="AZ14:BC14" si="31">AZ15+AZ16</f>
        <v>5066.0410000000002</v>
      </c>
      <c r="BA14" s="172">
        <f t="shared" si="31"/>
        <v>565.64703699999995</v>
      </c>
      <c r="BB14" s="173">
        <f t="shared" si="31"/>
        <v>641.43867</v>
      </c>
      <c r="BC14" s="186">
        <f t="shared" si="31"/>
        <v>1207.085707</v>
      </c>
    </row>
    <row r="15" spans="1:55" s="91" customFormat="1" ht="15" x14ac:dyDescent="0.2">
      <c r="A15" s="376" t="s">
        <v>107</v>
      </c>
      <c r="B15" s="101" t="s">
        <v>108</v>
      </c>
      <c r="C15" s="102" t="s">
        <v>100</v>
      </c>
      <c r="D15" s="174">
        <v>2366.7730000000001</v>
      </c>
      <c r="E15" s="262">
        <f>'[18]1П'!$H$11</f>
        <v>203.73681000000002</v>
      </c>
      <c r="F15" s="263">
        <f>'[18]2П'!$H$11</f>
        <v>36.04450000000007</v>
      </c>
      <c r="G15" s="169">
        <f>E15+F15</f>
        <v>239.78131000000008</v>
      </c>
      <c r="H15" s="174">
        <v>8709.5259999999998</v>
      </c>
      <c r="I15" s="262">
        <f>'[21]1П'!$H$11</f>
        <v>25832.546438000001</v>
      </c>
      <c r="J15" s="263">
        <f>'[21]2П'!$H$11</f>
        <v>20662.562590000001</v>
      </c>
      <c r="K15" s="169">
        <f>I15+J15</f>
        <v>46495.109028000006</v>
      </c>
      <c r="L15" s="174">
        <v>697.65800000000002</v>
      </c>
      <c r="M15" s="262">
        <f>'[22]1П'!$H$11</f>
        <v>5311.6828859999987</v>
      </c>
      <c r="N15" s="263">
        <f>'[22]2П'!$H$11</f>
        <v>5854.673882</v>
      </c>
      <c r="O15" s="169">
        <f>M15+N15</f>
        <v>11166.356767999998</v>
      </c>
      <c r="P15" s="174">
        <v>4130.6610000000001</v>
      </c>
      <c r="Q15" s="262">
        <f>'[23]1П'!$H$11</f>
        <v>1803.1379999999999</v>
      </c>
      <c r="R15" s="263">
        <f>'[23]2П'!$H$11</f>
        <v>5592.5280570000004</v>
      </c>
      <c r="S15" s="186">
        <f>Q15+R15</f>
        <v>7395.6660570000004</v>
      </c>
      <c r="T15" s="174">
        <v>1421.12</v>
      </c>
      <c r="U15" s="264">
        <f>('[24]1П'!$H$11)*0</f>
        <v>0</v>
      </c>
      <c r="V15" s="265">
        <f>'[24]2П'!$H$11-1276.843631</f>
        <v>327.91591300000005</v>
      </c>
      <c r="W15" s="169">
        <f>U15+V15</f>
        <v>327.91591300000005</v>
      </c>
      <c r="X15" s="174">
        <v>375.11399999999998</v>
      </c>
      <c r="Y15" s="262">
        <f>'[25]1П'!$H$11</f>
        <v>168.94300000000001</v>
      </c>
      <c r="Z15" s="263">
        <f>'[25]2П'!$H$11</f>
        <v>170.81599999999997</v>
      </c>
      <c r="AA15" s="169">
        <f>Y15+Z15</f>
        <v>339.75900000000001</v>
      </c>
      <c r="AB15" s="174">
        <v>1626.215279279279</v>
      </c>
      <c r="AC15" s="262">
        <f>'[26]1П'!$H$11</f>
        <v>149.935</v>
      </c>
      <c r="AD15" s="263">
        <f>'[26]2П'!$H$11</f>
        <v>112.57999999999998</v>
      </c>
      <c r="AE15" s="169">
        <f>AC15+AD15</f>
        <v>262.51499999999999</v>
      </c>
      <c r="AF15" s="174">
        <v>926.87389752412832</v>
      </c>
      <c r="AG15" s="262">
        <f>'[19]1П'!$H$11</f>
        <v>141.02700000000002</v>
      </c>
      <c r="AH15" s="263">
        <f>'[19]2П'!$H$11</f>
        <v>163.32400000000001</v>
      </c>
      <c r="AI15" s="186">
        <f>AG15+AH15</f>
        <v>304.351</v>
      </c>
      <c r="AJ15" s="174">
        <v>4493.1198832284308</v>
      </c>
      <c r="AK15" s="262">
        <f>'[27]1П'!$H$11</f>
        <v>5775.858185</v>
      </c>
      <c r="AL15" s="263">
        <f>'[27]2П'!$H$11</f>
        <v>3631.5656039999999</v>
      </c>
      <c r="AM15" s="169">
        <f>AK15+AL15</f>
        <v>9407.4237890000004</v>
      </c>
      <c r="AN15" s="174">
        <v>3050.681</v>
      </c>
      <c r="AO15" s="262">
        <f>'[28]1П'!$H$11</f>
        <v>763.83127000000002</v>
      </c>
      <c r="AP15" s="263">
        <f>'[28]2П'!$H$11</f>
        <v>761.06493900000009</v>
      </c>
      <c r="AQ15" s="169">
        <f>AO15+AP15</f>
        <v>1524.896209</v>
      </c>
      <c r="AR15" s="174">
        <v>10629.096</v>
      </c>
      <c r="AS15" s="262">
        <f>'[29]1П'!$H$11</f>
        <v>768.54753600000004</v>
      </c>
      <c r="AT15" s="263">
        <f>'[29]2П'!$H$11</f>
        <v>489.03571000000005</v>
      </c>
      <c r="AU15" s="169">
        <f>AS15+AT15</f>
        <v>1257.5832460000001</v>
      </c>
      <c r="AV15" s="174">
        <v>8151.66</v>
      </c>
      <c r="AW15" s="262">
        <f>'[30]1П'!$H$11</f>
        <v>4746.9786490000006</v>
      </c>
      <c r="AX15" s="263">
        <f>'[30]2П'!$H$11</f>
        <v>9288.1171969999996</v>
      </c>
      <c r="AY15" s="169">
        <f>AW15+AX15</f>
        <v>14035.095846</v>
      </c>
      <c r="AZ15" s="174">
        <v>5066.0410000000002</v>
      </c>
      <c r="BA15" s="264">
        <f>'[20]1П'!$H$11</f>
        <v>565.64703699999995</v>
      </c>
      <c r="BB15" s="265">
        <f>('[20]2П'!$H$11)</f>
        <v>641.43867</v>
      </c>
      <c r="BC15" s="186">
        <f>BA15+BB15</f>
        <v>1207.085707</v>
      </c>
    </row>
    <row r="16" spans="1:55" s="91" customFormat="1" ht="15" x14ac:dyDescent="0.2">
      <c r="A16" s="108" t="s">
        <v>109</v>
      </c>
      <c r="B16" s="101" t="s">
        <v>110</v>
      </c>
      <c r="C16" s="98" t="s">
        <v>100</v>
      </c>
      <c r="D16" s="167"/>
      <c r="E16" s="172"/>
      <c r="F16" s="173"/>
      <c r="G16" s="169"/>
      <c r="H16" s="167"/>
      <c r="I16" s="172"/>
      <c r="J16" s="173"/>
      <c r="K16" s="169"/>
      <c r="L16" s="167"/>
      <c r="M16" s="172"/>
      <c r="N16" s="173"/>
      <c r="O16" s="169"/>
      <c r="P16" s="167"/>
      <c r="Q16" s="172"/>
      <c r="R16" s="173"/>
      <c r="S16" s="186"/>
      <c r="T16" s="167"/>
      <c r="U16" s="172"/>
      <c r="V16" s="173"/>
      <c r="W16" s="169"/>
      <c r="X16" s="167"/>
      <c r="Y16" s="172"/>
      <c r="Z16" s="173"/>
      <c r="AA16" s="169"/>
      <c r="AB16" s="167"/>
      <c r="AC16" s="172"/>
      <c r="AD16" s="173"/>
      <c r="AE16" s="169"/>
      <c r="AF16" s="167"/>
      <c r="AG16" s="172"/>
      <c r="AH16" s="173"/>
      <c r="AI16" s="186"/>
      <c r="AJ16" s="167"/>
      <c r="AK16" s="172"/>
      <c r="AL16" s="173"/>
      <c r="AM16" s="169"/>
      <c r="AN16" s="167"/>
      <c r="AO16" s="172"/>
      <c r="AP16" s="173"/>
      <c r="AQ16" s="169"/>
      <c r="AR16" s="167"/>
      <c r="AS16" s="172"/>
      <c r="AT16" s="173"/>
      <c r="AU16" s="169"/>
      <c r="AV16" s="167"/>
      <c r="AW16" s="172"/>
      <c r="AX16" s="173"/>
      <c r="AY16" s="169"/>
      <c r="AZ16" s="167"/>
      <c r="BA16" s="172"/>
      <c r="BB16" s="173"/>
      <c r="BC16" s="186"/>
    </row>
    <row r="17" spans="1:55" s="106" customFormat="1" ht="19.5" customHeight="1" x14ac:dyDescent="0.2">
      <c r="A17" s="103" t="s">
        <v>10</v>
      </c>
      <c r="B17" s="104" t="s">
        <v>111</v>
      </c>
      <c r="C17" s="105" t="s">
        <v>100</v>
      </c>
      <c r="D17" s="175">
        <f t="shared" ref="D17:K17" si="32">D13-D14</f>
        <v>28567.39794436696</v>
      </c>
      <c r="E17" s="176">
        <f t="shared" si="32"/>
        <v>14950.80819</v>
      </c>
      <c r="F17" s="177">
        <f t="shared" si="32"/>
        <v>14054.155500000001</v>
      </c>
      <c r="G17" s="171">
        <f t="shared" si="32"/>
        <v>29004.963690000004</v>
      </c>
      <c r="H17" s="175">
        <f t="shared" si="32"/>
        <v>251509.35447490626</v>
      </c>
      <c r="I17" s="176">
        <f t="shared" si="32"/>
        <v>141677.45356200001</v>
      </c>
      <c r="J17" s="177">
        <f>J13-J14</f>
        <v>131329.83740999998</v>
      </c>
      <c r="K17" s="171">
        <f t="shared" si="32"/>
        <v>273007.29097199999</v>
      </c>
      <c r="L17" s="175">
        <f t="shared" ref="L17:S17" si="33">L13-L14</f>
        <v>17881.797870999999</v>
      </c>
      <c r="M17" s="176">
        <f t="shared" si="33"/>
        <v>13296.601114000001</v>
      </c>
      <c r="N17" s="177">
        <f t="shared" si="33"/>
        <v>6841.8821180000004</v>
      </c>
      <c r="O17" s="171">
        <f t="shared" si="33"/>
        <v>20138.483232000002</v>
      </c>
      <c r="P17" s="175">
        <f t="shared" si="33"/>
        <v>126174.10863823679</v>
      </c>
      <c r="Q17" s="176">
        <f t="shared" si="33"/>
        <v>56348.046270999999</v>
      </c>
      <c r="R17" s="177">
        <f t="shared" si="33"/>
        <v>80756.181124999988</v>
      </c>
      <c r="S17" s="187">
        <f t="shared" si="33"/>
        <v>137104.227396</v>
      </c>
      <c r="T17" s="175">
        <f t="shared" ref="T17:AA17" si="34">T13-T14</f>
        <v>21552.040748000003</v>
      </c>
      <c r="U17" s="176">
        <f t="shared" si="34"/>
        <v>10354.143630999999</v>
      </c>
      <c r="V17" s="177">
        <f t="shared" si="34"/>
        <v>9037.2404559999995</v>
      </c>
      <c r="W17" s="171">
        <f t="shared" si="34"/>
        <v>19391.384086999999</v>
      </c>
      <c r="X17" s="175">
        <f t="shared" si="34"/>
        <v>14781.014051</v>
      </c>
      <c r="Y17" s="176">
        <f t="shared" si="34"/>
        <v>6757.7314929999984</v>
      </c>
      <c r="Z17" s="177">
        <f t="shared" si="34"/>
        <v>6832.6570970000002</v>
      </c>
      <c r="AA17" s="171">
        <f t="shared" si="34"/>
        <v>13590.388589999999</v>
      </c>
      <c r="AB17" s="175">
        <f t="shared" ref="AB17:AE17" si="35">AB13-AB14</f>
        <v>12893.563999999998</v>
      </c>
      <c r="AC17" s="176">
        <f t="shared" si="35"/>
        <v>5783.0649999999996</v>
      </c>
      <c r="AD17" s="177">
        <f t="shared" si="35"/>
        <v>6144.42</v>
      </c>
      <c r="AE17" s="171">
        <f t="shared" si="35"/>
        <v>11927.484999999999</v>
      </c>
      <c r="AF17" s="175">
        <f t="shared" ref="AF17:AI17" si="36">AF13-AF14</f>
        <v>4337.0623673789178</v>
      </c>
      <c r="AG17" s="176">
        <f t="shared" si="36"/>
        <v>2557.973</v>
      </c>
      <c r="AH17" s="177">
        <f t="shared" si="36"/>
        <v>2337.6759999999999</v>
      </c>
      <c r="AI17" s="187">
        <f t="shared" si="36"/>
        <v>4895.6490000000003</v>
      </c>
      <c r="AJ17" s="175">
        <f t="shared" ref="AJ17:AM17" si="37">AJ13-AJ14</f>
        <v>41675.395152000005</v>
      </c>
      <c r="AK17" s="176">
        <f t="shared" si="37"/>
        <v>19811.131815000001</v>
      </c>
      <c r="AL17" s="177">
        <f t="shared" si="37"/>
        <v>18781.444395999999</v>
      </c>
      <c r="AM17" s="171">
        <f t="shared" si="37"/>
        <v>38592.576211</v>
      </c>
      <c r="AN17" s="175">
        <f t="shared" ref="AN17:AQ17" si="38">AN13-AN14</f>
        <v>30015.447265999999</v>
      </c>
      <c r="AO17" s="176">
        <f t="shared" si="38"/>
        <v>16855.168730000001</v>
      </c>
      <c r="AP17" s="177">
        <f t="shared" si="38"/>
        <v>14787.935061</v>
      </c>
      <c r="AQ17" s="171">
        <f t="shared" si="38"/>
        <v>31643.103791000001</v>
      </c>
      <c r="AR17" s="175">
        <f t="shared" ref="AR17:AU17" si="39">AR13-AR14</f>
        <v>31728.026000000005</v>
      </c>
      <c r="AS17" s="176">
        <f t="shared" si="39"/>
        <v>16790.452464000002</v>
      </c>
      <c r="AT17" s="177">
        <f t="shared" si="39"/>
        <v>16727.96429</v>
      </c>
      <c r="AU17" s="171">
        <f t="shared" si="39"/>
        <v>33518.416753999998</v>
      </c>
      <c r="AV17" s="175">
        <f t="shared" ref="AV17:AY17" si="40">AV13-AV14</f>
        <v>149581.70076000001</v>
      </c>
      <c r="AW17" s="176">
        <f t="shared" si="40"/>
        <v>83996.559351000004</v>
      </c>
      <c r="AX17" s="177">
        <f t="shared" si="40"/>
        <v>76422.240802999993</v>
      </c>
      <c r="AY17" s="171">
        <f t="shared" si="40"/>
        <v>160418.800154</v>
      </c>
      <c r="AZ17" s="175">
        <f t="shared" ref="AZ17:BC17" si="41">AZ13-AZ14</f>
        <v>15783.231000000029</v>
      </c>
      <c r="BA17" s="176">
        <f t="shared" si="41"/>
        <v>7771.3529630000003</v>
      </c>
      <c r="BB17" s="177">
        <f t="shared" si="41"/>
        <v>5650.5613300000005</v>
      </c>
      <c r="BC17" s="187">
        <f t="shared" si="41"/>
        <v>13421.914293</v>
      </c>
    </row>
    <row r="18" spans="1:55" s="91" customFormat="1" ht="15" x14ac:dyDescent="0.2">
      <c r="A18" s="107" t="s">
        <v>112</v>
      </c>
      <c r="B18" s="100" t="s">
        <v>113</v>
      </c>
      <c r="C18" s="98" t="s">
        <v>100</v>
      </c>
      <c r="D18" s="167">
        <f t="shared" ref="D18:K18" si="42">D19+D20+D21</f>
        <v>2254.1629443669635</v>
      </c>
      <c r="E18" s="172">
        <f t="shared" si="42"/>
        <v>810.26699999999994</v>
      </c>
      <c r="F18" s="173">
        <f t="shared" si="42"/>
        <v>373.13249999999999</v>
      </c>
      <c r="G18" s="166">
        <f t="shared" si="42"/>
        <v>1183.3995</v>
      </c>
      <c r="H18" s="167">
        <f t="shared" si="42"/>
        <v>99808.73225457294</v>
      </c>
      <c r="I18" s="172">
        <f t="shared" si="42"/>
        <v>64306.206999999995</v>
      </c>
      <c r="J18" s="173">
        <f t="shared" si="42"/>
        <v>57079.813000000002</v>
      </c>
      <c r="K18" s="166">
        <f t="shared" si="42"/>
        <v>121386.01999999999</v>
      </c>
      <c r="L18" s="167">
        <f t="shared" ref="L18:S18" si="43">L19+L20+L21</f>
        <v>6225.204870999999</v>
      </c>
      <c r="M18" s="172">
        <f t="shared" si="43"/>
        <v>8145.1922029999996</v>
      </c>
      <c r="N18" s="173">
        <f t="shared" si="43"/>
        <v>2217.7604019999999</v>
      </c>
      <c r="O18" s="166">
        <f t="shared" si="43"/>
        <v>10362.952604999999</v>
      </c>
      <c r="P18" s="167">
        <f t="shared" si="43"/>
        <v>64312.091638236772</v>
      </c>
      <c r="Q18" s="172">
        <f t="shared" si="43"/>
        <v>26801.801216</v>
      </c>
      <c r="R18" s="173">
        <f t="shared" si="43"/>
        <v>51380.90772599999</v>
      </c>
      <c r="S18" s="185">
        <f t="shared" si="43"/>
        <v>78182.708941999997</v>
      </c>
      <c r="T18" s="167">
        <f t="shared" ref="T18:AA18" si="44">T19+T20+T21</f>
        <v>3323.3617479999994</v>
      </c>
      <c r="U18" s="172">
        <f t="shared" si="44"/>
        <v>1668.244999</v>
      </c>
      <c r="V18" s="173">
        <f t="shared" si="44"/>
        <v>531.469067</v>
      </c>
      <c r="W18" s="166">
        <f t="shared" si="44"/>
        <v>2199.714066</v>
      </c>
      <c r="X18" s="167">
        <f t="shared" si="44"/>
        <v>3387.6240509999998</v>
      </c>
      <c r="Y18" s="172">
        <f t="shared" si="44"/>
        <v>1249.581187</v>
      </c>
      <c r="Z18" s="173">
        <f t="shared" si="44"/>
        <v>1358.6161940000002</v>
      </c>
      <c r="AA18" s="166">
        <f t="shared" si="44"/>
        <v>2608.197381</v>
      </c>
      <c r="AB18" s="167">
        <f t="shared" ref="AB18:AE18" si="45">AB19+AB20+AB21</f>
        <v>1448.84</v>
      </c>
      <c r="AC18" s="172">
        <f t="shared" si="45"/>
        <v>160.96</v>
      </c>
      <c r="AD18" s="173">
        <f t="shared" si="45"/>
        <v>292.86</v>
      </c>
      <c r="AE18" s="166">
        <f t="shared" si="45"/>
        <v>453.82000000000005</v>
      </c>
      <c r="AF18" s="167">
        <f t="shared" ref="AF18:AI18" si="46">AF19+AF20+AF21</f>
        <v>1071.1201673789176</v>
      </c>
      <c r="AG18" s="172">
        <f t="shared" si="46"/>
        <v>366.46300000000002</v>
      </c>
      <c r="AH18" s="173">
        <f t="shared" si="46"/>
        <v>242.08500000000001</v>
      </c>
      <c r="AI18" s="185">
        <f t="shared" si="46"/>
        <v>608.548</v>
      </c>
      <c r="AJ18" s="167">
        <f t="shared" ref="AJ18:AM18" si="47">AJ19+AJ20+AJ21</f>
        <v>4945.7519999999995</v>
      </c>
      <c r="AK18" s="172">
        <f t="shared" si="47"/>
        <v>405.84999999999997</v>
      </c>
      <c r="AL18" s="173">
        <f t="shared" si="47"/>
        <v>331.53899999999999</v>
      </c>
      <c r="AM18" s="166">
        <f t="shared" si="47"/>
        <v>737.3889999999999</v>
      </c>
      <c r="AN18" s="167">
        <f t="shared" ref="AN18:AQ18" si="48">AN19+AN20+AN21</f>
        <v>6356.2872660000003</v>
      </c>
      <c r="AO18" s="172">
        <f t="shared" si="48"/>
        <v>2747.4877369999999</v>
      </c>
      <c r="AP18" s="173">
        <f t="shared" si="48"/>
        <v>2017.3373509999999</v>
      </c>
      <c r="AQ18" s="166">
        <f t="shared" si="48"/>
        <v>4764.8250879999996</v>
      </c>
      <c r="AR18" s="167">
        <f t="shared" ref="AR18:AU18" si="49">AR19+AR20+AR21</f>
        <v>1569.6</v>
      </c>
      <c r="AS18" s="172">
        <f t="shared" si="49"/>
        <v>3365</v>
      </c>
      <c r="AT18" s="173">
        <f t="shared" si="49"/>
        <v>3165.3</v>
      </c>
      <c r="AU18" s="166">
        <f t="shared" si="49"/>
        <v>6530.3</v>
      </c>
      <c r="AV18" s="167">
        <f t="shared" ref="AV18:AY18" si="50">AV19+AV20+AV21</f>
        <v>64426.222760000004</v>
      </c>
      <c r="AW18" s="172">
        <f t="shared" si="50"/>
        <v>42077.728999999999</v>
      </c>
      <c r="AX18" s="173">
        <f t="shared" si="50"/>
        <v>41393.537999999993</v>
      </c>
      <c r="AY18" s="166">
        <f t="shared" si="50"/>
        <v>83471.266999999993</v>
      </c>
      <c r="AZ18" s="167">
        <f t="shared" ref="AZ18:BC18" si="51">AZ19+AZ20+AZ21</f>
        <v>9470.8760000000002</v>
      </c>
      <c r="BA18" s="172">
        <f t="shared" si="51"/>
        <v>5097.5491200000006</v>
      </c>
      <c r="BB18" s="173">
        <f t="shared" si="51"/>
        <v>3333.8036339999999</v>
      </c>
      <c r="BC18" s="185">
        <f t="shared" si="51"/>
        <v>8431.3527539999995</v>
      </c>
    </row>
    <row r="19" spans="1:55" s="91" customFormat="1" ht="15" x14ac:dyDescent="0.2">
      <c r="A19" s="108" t="s">
        <v>114</v>
      </c>
      <c r="B19" s="109" t="s">
        <v>115</v>
      </c>
      <c r="C19" s="102" t="s">
        <v>100</v>
      </c>
      <c r="D19" s="174">
        <v>58.619</v>
      </c>
      <c r="E19" s="262">
        <f>'[18]1П'!$H$23</f>
        <v>15.889999999999999</v>
      </c>
      <c r="F19" s="263">
        <f>'[18]2П'!$H$23</f>
        <v>14</v>
      </c>
      <c r="G19" s="169">
        <f>E19+F19</f>
        <v>29.89</v>
      </c>
      <c r="H19" s="174">
        <v>58291.873001</v>
      </c>
      <c r="I19" s="262">
        <f>'[21]1П'!$H$23</f>
        <v>33328.743891999999</v>
      </c>
      <c r="J19" s="263">
        <f>'[21]2П'!$H$23</f>
        <v>30889.873</v>
      </c>
      <c r="K19" s="169">
        <f>I19+J19</f>
        <v>64218.616891999998</v>
      </c>
      <c r="L19" s="174">
        <v>5621.3348709999991</v>
      </c>
      <c r="M19" s="262">
        <f>'[22]1П'!$H$23</f>
        <v>2627.6221999999998</v>
      </c>
      <c r="N19" s="263">
        <f>'[22]2П'!$H$23</f>
        <v>1830.3467179999998</v>
      </c>
      <c r="O19" s="169">
        <f>M19+N19</f>
        <v>4457.9689179999996</v>
      </c>
      <c r="P19" s="174">
        <v>51092.001715999992</v>
      </c>
      <c r="Q19" s="262">
        <f>'[23]1П'!$H$23</f>
        <v>25183.950215999997</v>
      </c>
      <c r="R19" s="263">
        <f>'[23]2П'!$H$23</f>
        <v>23215.204726</v>
      </c>
      <c r="S19" s="186">
        <f>Q19+R19</f>
        <v>48399.154941999994</v>
      </c>
      <c r="T19" s="174">
        <v>1650.9657479999998</v>
      </c>
      <c r="U19" s="262">
        <f>'[24]1П'!$H$23</f>
        <v>733.04999900000007</v>
      </c>
      <c r="V19" s="263">
        <f>'[24]2П'!$H$23</f>
        <v>480.44406699999996</v>
      </c>
      <c r="W19" s="169">
        <f>U19+V19</f>
        <v>1213.494066</v>
      </c>
      <c r="X19" s="174">
        <v>2686.3290509999997</v>
      </c>
      <c r="Y19" s="262">
        <f>'[25]1П'!$H$23</f>
        <v>971.90118699999994</v>
      </c>
      <c r="Z19" s="263">
        <f>'[25]2П'!$H$23</f>
        <v>1101.997194</v>
      </c>
      <c r="AA19" s="169">
        <f>Y19+Z19</f>
        <v>2073.898381</v>
      </c>
      <c r="AB19" s="174"/>
      <c r="AC19" s="262"/>
      <c r="AD19" s="263"/>
      <c r="AE19" s="169">
        <f>AC19+AD19</f>
        <v>0</v>
      </c>
      <c r="AF19" s="174"/>
      <c r="AG19" s="262"/>
      <c r="AH19" s="263"/>
      <c r="AI19" s="186">
        <f>AG19+AH19</f>
        <v>0</v>
      </c>
      <c r="AJ19" s="174"/>
      <c r="AK19" s="262"/>
      <c r="AL19" s="263"/>
      <c r="AM19" s="169">
        <f>AK19+AL19</f>
        <v>0</v>
      </c>
      <c r="AN19" s="174">
        <v>4589.1942660000004</v>
      </c>
      <c r="AO19" s="262">
        <f>'[28]1П'!$H$23</f>
        <v>2239.059737</v>
      </c>
      <c r="AP19" s="263">
        <f>'[28]2П'!$H$23</f>
        <v>1520.9739509999999</v>
      </c>
      <c r="AQ19" s="169">
        <f>AO19+AP19</f>
        <v>3760.033688</v>
      </c>
      <c r="AR19" s="174"/>
      <c r="AS19" s="262"/>
      <c r="AT19" s="263"/>
      <c r="AU19" s="169">
        <f>AS19+AT19</f>
        <v>0</v>
      </c>
      <c r="AV19" s="174"/>
      <c r="AW19" s="262">
        <f>'[30]1П'!$H$23+'[30]1П'!$H$51</f>
        <v>39811.934000000001</v>
      </c>
      <c r="AX19" s="263">
        <f>'[30]2П'!$H$23+'[30]2П'!$H$51</f>
        <v>38955.288</v>
      </c>
      <c r="AY19" s="169">
        <f>AW19+AX19</f>
        <v>78767.222000000009</v>
      </c>
      <c r="AZ19" s="174">
        <v>6224.8393060000017</v>
      </c>
      <c r="BA19" s="262">
        <f>'[20]1П'!$H$23</f>
        <v>2577.4731690000003</v>
      </c>
      <c r="BB19" s="263">
        <f>'[20]2П'!$H$23</f>
        <v>2164.5166340000001</v>
      </c>
      <c r="BC19" s="186">
        <f>BA19+BB19</f>
        <v>4741.9898030000004</v>
      </c>
    </row>
    <row r="20" spans="1:55" s="91" customFormat="1" ht="15" x14ac:dyDescent="0.2">
      <c r="A20" s="110" t="s">
        <v>116</v>
      </c>
      <c r="B20" s="101" t="s">
        <v>117</v>
      </c>
      <c r="C20" s="98" t="s">
        <v>100</v>
      </c>
      <c r="D20" s="167">
        <v>1780.6214443669637</v>
      </c>
      <c r="E20" s="172">
        <f>'[18]1П'!$H$15</f>
        <v>467.83199999999999</v>
      </c>
      <c r="F20" s="173">
        <f>'[18]2П'!$H$15</f>
        <v>180</v>
      </c>
      <c r="G20" s="166">
        <f>E20+F20</f>
        <v>647.83199999999999</v>
      </c>
      <c r="H20" s="167">
        <v>37034.159253572951</v>
      </c>
      <c r="I20" s="172">
        <f>'[21]1П'!$H$15</f>
        <v>28885.000108</v>
      </c>
      <c r="J20" s="173">
        <f>'[21]2П'!$H$15</f>
        <v>23881.514000000003</v>
      </c>
      <c r="K20" s="166">
        <f>I20+J20</f>
        <v>52766.514108000003</v>
      </c>
      <c r="L20" s="167">
        <v>593</v>
      </c>
      <c r="M20" s="172">
        <f>'[22]1П'!$H$15</f>
        <v>5509.641114</v>
      </c>
      <c r="N20" s="173">
        <f>'[22]2П'!$H$15</f>
        <v>383.45312899999999</v>
      </c>
      <c r="O20" s="166">
        <f>M20+N20</f>
        <v>5893.0942429999996</v>
      </c>
      <c r="P20" s="167">
        <v>10543.732922236784</v>
      </c>
      <c r="Q20" s="172">
        <f>'[23]1П'!$H$15</f>
        <v>275.5</v>
      </c>
      <c r="R20" s="173">
        <f>'[23]2П'!$H$15</f>
        <v>26207</v>
      </c>
      <c r="S20" s="185">
        <f>Q20+R20</f>
        <v>26482.5</v>
      </c>
      <c r="T20" s="167">
        <v>1537</v>
      </c>
      <c r="U20" s="172">
        <f>'[24]1П'!$H$15</f>
        <v>884.72100000000012</v>
      </c>
      <c r="V20" s="173">
        <f>'[24]2П'!$H$15</f>
        <v>0</v>
      </c>
      <c r="W20" s="166">
        <f>U20+V20</f>
        <v>884.72100000000012</v>
      </c>
      <c r="X20" s="167">
        <v>523</v>
      </c>
      <c r="Y20" s="172">
        <f>'[25]1П'!$H$15</f>
        <v>261.49799999999999</v>
      </c>
      <c r="Z20" s="173">
        <f>'[25]2П'!$H$15</f>
        <v>217.91499999999999</v>
      </c>
      <c r="AA20" s="166">
        <f>Y20+Z20</f>
        <v>479.41300000000001</v>
      </c>
      <c r="AB20" s="167">
        <v>1298</v>
      </c>
      <c r="AC20" s="172">
        <f>'[26]1П'!$H$15</f>
        <v>92</v>
      </c>
      <c r="AD20" s="173">
        <f>'[26]2П'!$H$15</f>
        <v>101</v>
      </c>
      <c r="AE20" s="166">
        <f>AC20+AD20</f>
        <v>193</v>
      </c>
      <c r="AF20" s="167">
        <v>380</v>
      </c>
      <c r="AG20" s="172">
        <f>'[19]1П'!$H$15</f>
        <v>278</v>
      </c>
      <c r="AH20" s="173">
        <f>'[19]2П'!$H$15</f>
        <v>168</v>
      </c>
      <c r="AI20" s="185">
        <f>AG20+AH20</f>
        <v>446</v>
      </c>
      <c r="AJ20" s="167">
        <v>4074</v>
      </c>
      <c r="AK20" s="172">
        <f>'[27]1П'!$H$15</f>
        <v>263.7</v>
      </c>
      <c r="AL20" s="173">
        <f>'[27]2П'!$H$15</f>
        <v>121.3</v>
      </c>
      <c r="AM20" s="166">
        <f>AK20+AL20</f>
        <v>385</v>
      </c>
      <c r="AN20" s="167">
        <v>1178</v>
      </c>
      <c r="AO20" s="172">
        <f>'[28]1П'!$H$15</f>
        <v>377</v>
      </c>
      <c r="AP20" s="173">
        <f>'[28]2П'!$H$15</f>
        <v>309</v>
      </c>
      <c r="AQ20" s="166">
        <f>AO20+AP20</f>
        <v>686</v>
      </c>
      <c r="AR20" s="167">
        <v>1494</v>
      </c>
      <c r="AS20" s="172">
        <f>'[29]1П'!$H$15</f>
        <v>3327.2</v>
      </c>
      <c r="AT20" s="173">
        <f>'[29]2П'!$H$15</f>
        <v>3127.5</v>
      </c>
      <c r="AU20" s="166">
        <f>AS20+AT20</f>
        <v>6454.7</v>
      </c>
      <c r="AV20" s="167">
        <v>2078</v>
      </c>
      <c r="AW20" s="172">
        <f>'[30]1П'!$H$15</f>
        <v>1880.768</v>
      </c>
      <c r="AX20" s="173">
        <f>'[30]2П'!$H$15</f>
        <v>1862.73</v>
      </c>
      <c r="AY20" s="166">
        <f>AW20+AX20</f>
        <v>3743.498</v>
      </c>
      <c r="AZ20" s="167">
        <v>1176.5</v>
      </c>
      <c r="BA20" s="172">
        <f>'[20]1П'!$H$15</f>
        <v>1536.0648310000001</v>
      </c>
      <c r="BB20" s="173">
        <f>'[20]2П'!$H$15</f>
        <v>207.72499999999999</v>
      </c>
      <c r="BC20" s="185">
        <f>BA20+BB20</f>
        <v>1743.789831</v>
      </c>
    </row>
    <row r="21" spans="1:55" s="91" customFormat="1" ht="15" x14ac:dyDescent="0.2">
      <c r="A21" s="110" t="s">
        <v>118</v>
      </c>
      <c r="B21" s="101" t="s">
        <v>119</v>
      </c>
      <c r="C21" s="98" t="s">
        <v>100</v>
      </c>
      <c r="D21" s="167">
        <v>414.92250000000013</v>
      </c>
      <c r="E21" s="172">
        <f>'[18]1П'!$H$14-E20-E19</f>
        <v>326.54499999999996</v>
      </c>
      <c r="F21" s="173">
        <f>'[18]2П'!$H$14-F20-F19</f>
        <v>179.13249999999999</v>
      </c>
      <c r="G21" s="169">
        <f>E21+F21</f>
        <v>505.67749999999995</v>
      </c>
      <c r="H21" s="167">
        <v>4482.6999999999898</v>
      </c>
      <c r="I21" s="172">
        <f>'[21]1П'!$H$14-I20-I19</f>
        <v>2092.4629999999961</v>
      </c>
      <c r="J21" s="173">
        <f>'[21]2П'!$H$14-J20-J19</f>
        <v>2308.4259999999995</v>
      </c>
      <c r="K21" s="169">
        <f>I21+J21</f>
        <v>4400.8889999999956</v>
      </c>
      <c r="L21" s="167">
        <v>10.869999999999891</v>
      </c>
      <c r="M21" s="172">
        <f>'[22]1П'!$H$14-M20-M19</f>
        <v>7.9288889999997991</v>
      </c>
      <c r="N21" s="173">
        <f>'[22]2П'!$H$14-N20-N19</f>
        <v>3.9605550000001131</v>
      </c>
      <c r="O21" s="169">
        <f>M21+N21</f>
        <v>11.889443999999912</v>
      </c>
      <c r="P21" s="167">
        <v>2676.3569999999963</v>
      </c>
      <c r="Q21" s="172">
        <f>'[23]1П'!$H$14-Q20-Q19</f>
        <v>1342.3510000000024</v>
      </c>
      <c r="R21" s="173">
        <f>'[23]2П'!$H$14-R20-R19</f>
        <v>1958.7029999999977</v>
      </c>
      <c r="S21" s="186">
        <f>Q21+R21</f>
        <v>3301.0540000000001</v>
      </c>
      <c r="T21" s="167">
        <v>135.39599999999996</v>
      </c>
      <c r="U21" s="172">
        <f>'[24]1П'!$H$14-U20-U19</f>
        <v>50.473999999999819</v>
      </c>
      <c r="V21" s="173">
        <f>'[24]2П'!$H$14-V20-V19</f>
        <v>51.025000000000034</v>
      </c>
      <c r="W21" s="169">
        <f>U21+V21</f>
        <v>101.49899999999985</v>
      </c>
      <c r="X21" s="167">
        <v>178.29500000000007</v>
      </c>
      <c r="Y21" s="172">
        <f>'[25]1П'!$H$14-Y20-Y19</f>
        <v>16.182000000000016</v>
      </c>
      <c r="Z21" s="173">
        <f>'[25]2П'!$H$14-Z20-Z19</f>
        <v>38.704000000000178</v>
      </c>
      <c r="AA21" s="169">
        <f>Y21+Z21</f>
        <v>54.886000000000195</v>
      </c>
      <c r="AB21" s="167">
        <v>150.83999999999992</v>
      </c>
      <c r="AC21" s="172">
        <f>'[26]1П'!$H$14-AC20</f>
        <v>68.960000000000008</v>
      </c>
      <c r="AD21" s="173">
        <f>'[26]2П'!$H$14-AD20</f>
        <v>191.86</v>
      </c>
      <c r="AE21" s="169">
        <f>AC21+AD21</f>
        <v>260.82000000000005</v>
      </c>
      <c r="AF21" s="167">
        <v>691.12016737891759</v>
      </c>
      <c r="AG21" s="172">
        <f>'[19]1П'!$H$14-AG20</f>
        <v>88.463000000000022</v>
      </c>
      <c r="AH21" s="173">
        <f>'[19]2П'!$H$14-AH20</f>
        <v>74.085000000000008</v>
      </c>
      <c r="AI21" s="186">
        <f>AG21+AH21</f>
        <v>162.54800000000003</v>
      </c>
      <c r="AJ21" s="167">
        <v>871.7519999999995</v>
      </c>
      <c r="AK21" s="172">
        <f>'[27]1П'!$H$14-AK20</f>
        <v>142.14999999999998</v>
      </c>
      <c r="AL21" s="173">
        <f>'[27]2П'!$H$14-AL20</f>
        <v>210.23899999999998</v>
      </c>
      <c r="AM21" s="169">
        <f>AK21+AL21</f>
        <v>352.38899999999995</v>
      </c>
      <c r="AN21" s="167">
        <v>589.09299999999985</v>
      </c>
      <c r="AO21" s="172">
        <f>'[28]1П'!$H$14-AO20-AO19</f>
        <v>131.42799999999988</v>
      </c>
      <c r="AP21" s="173">
        <f>'[28]2П'!$H$14-AP20-AP19</f>
        <v>187.36339999999996</v>
      </c>
      <c r="AQ21" s="169">
        <f>AO21+AP21</f>
        <v>318.79139999999984</v>
      </c>
      <c r="AR21" s="167">
        <v>75.599999999999909</v>
      </c>
      <c r="AS21" s="172">
        <f>'[29]1П'!$H$14-AS20</f>
        <v>37.800000000000182</v>
      </c>
      <c r="AT21" s="173">
        <f>'[29]2П'!$H$14-AT20</f>
        <v>37.800000000000182</v>
      </c>
      <c r="AU21" s="169">
        <f>AS21+AT21</f>
        <v>75.600000000000364</v>
      </c>
      <c r="AV21" s="167">
        <v>62348.222760000004</v>
      </c>
      <c r="AW21" s="172">
        <f>'[30]1П'!$H$14-AW20-AW19</f>
        <v>385.02699999999459</v>
      </c>
      <c r="AX21" s="173">
        <f>'[30]2П'!$H$14-AX20-AX19</f>
        <v>575.51999999998952</v>
      </c>
      <c r="AY21" s="169">
        <f>AW21+AX21</f>
        <v>960.54699999998411</v>
      </c>
      <c r="AZ21" s="167">
        <v>2069.5366939999985</v>
      </c>
      <c r="BA21" s="172">
        <f>'[20]1П'!$H$14-BA20-BA19</f>
        <v>984.01112000000012</v>
      </c>
      <c r="BB21" s="173">
        <f>'[20]2П'!$H$14-BB20-BB19</f>
        <v>961.5619999999999</v>
      </c>
      <c r="BC21" s="186">
        <f>BA21+BB21</f>
        <v>1945.57312</v>
      </c>
    </row>
    <row r="22" spans="1:55" s="91" customFormat="1" ht="14.25" x14ac:dyDescent="0.2">
      <c r="A22" s="111" t="s">
        <v>41</v>
      </c>
      <c r="B22" s="99" t="s">
        <v>120</v>
      </c>
      <c r="C22" s="98" t="s">
        <v>100</v>
      </c>
      <c r="D22" s="170">
        <f t="shared" ref="D22:AA22" si="52">D17-D18</f>
        <v>26313.234999999997</v>
      </c>
      <c r="E22" s="190">
        <f t="shared" si="52"/>
        <v>14140.54119</v>
      </c>
      <c r="F22" s="192">
        <f t="shared" si="52"/>
        <v>13681.023000000001</v>
      </c>
      <c r="G22" s="193">
        <f t="shared" si="52"/>
        <v>27821.564190000005</v>
      </c>
      <c r="H22" s="190">
        <f t="shared" si="52"/>
        <v>151700.62222033332</v>
      </c>
      <c r="I22" s="190">
        <f t="shared" si="52"/>
        <v>77371.246562000015</v>
      </c>
      <c r="J22" s="192">
        <f>J17-J18</f>
        <v>74250.024409999984</v>
      </c>
      <c r="K22" s="193">
        <f t="shared" si="52"/>
        <v>151621.270972</v>
      </c>
      <c r="L22" s="190">
        <f t="shared" si="52"/>
        <v>11656.593000000001</v>
      </c>
      <c r="M22" s="190">
        <f t="shared" si="52"/>
        <v>5151.4089110000014</v>
      </c>
      <c r="N22" s="192">
        <f t="shared" si="52"/>
        <v>4624.1217160000006</v>
      </c>
      <c r="O22" s="193">
        <f t="shared" si="52"/>
        <v>9775.5306270000037</v>
      </c>
      <c r="P22" s="190">
        <f t="shared" si="52"/>
        <v>61862.017000000022</v>
      </c>
      <c r="Q22" s="190">
        <f>Q17-Q18</f>
        <v>29546.245054999999</v>
      </c>
      <c r="R22" s="192">
        <f t="shared" ref="R22:S22" si="53">R17-R18</f>
        <v>29375.273398999998</v>
      </c>
      <c r="S22" s="194">
        <f t="shared" si="53"/>
        <v>58921.518454000005</v>
      </c>
      <c r="T22" s="190">
        <f t="shared" si="52"/>
        <v>18228.679000000004</v>
      </c>
      <c r="U22" s="190">
        <f t="shared" si="52"/>
        <v>8685.8986319999985</v>
      </c>
      <c r="V22" s="192">
        <f t="shared" si="52"/>
        <v>8505.7713889999995</v>
      </c>
      <c r="W22" s="193">
        <f>W17-W18</f>
        <v>17191.670020999998</v>
      </c>
      <c r="X22" s="190">
        <f t="shared" si="52"/>
        <v>11393.39</v>
      </c>
      <c r="Y22" s="190">
        <f t="shared" si="52"/>
        <v>5508.1503059999986</v>
      </c>
      <c r="Z22" s="192">
        <f t="shared" si="52"/>
        <v>5474.0409030000001</v>
      </c>
      <c r="AA22" s="193">
        <f t="shared" si="52"/>
        <v>10982.191208999999</v>
      </c>
      <c r="AB22" s="190">
        <f t="shared" ref="AB22:AE22" si="54">AB17-AB18</f>
        <v>11444.723999999998</v>
      </c>
      <c r="AC22" s="190">
        <f t="shared" si="54"/>
        <v>5622.1049999999996</v>
      </c>
      <c r="AD22" s="192">
        <f t="shared" si="54"/>
        <v>5851.56</v>
      </c>
      <c r="AE22" s="193">
        <f t="shared" si="54"/>
        <v>11473.664999999999</v>
      </c>
      <c r="AF22" s="190">
        <f t="shared" ref="AF22:AM22" si="55">AF17-AF18</f>
        <v>3265.9422000000004</v>
      </c>
      <c r="AG22" s="190">
        <f t="shared" si="55"/>
        <v>2191.5099999999998</v>
      </c>
      <c r="AH22" s="192">
        <f t="shared" si="55"/>
        <v>2095.5909999999999</v>
      </c>
      <c r="AI22" s="194">
        <f t="shared" si="55"/>
        <v>4287.1010000000006</v>
      </c>
      <c r="AJ22" s="190">
        <f t="shared" si="55"/>
        <v>36729.643152000004</v>
      </c>
      <c r="AK22" s="190">
        <f t="shared" si="55"/>
        <v>19405.281815000002</v>
      </c>
      <c r="AL22" s="192">
        <f t="shared" si="55"/>
        <v>18449.905395999998</v>
      </c>
      <c r="AM22" s="193">
        <f t="shared" si="55"/>
        <v>37855.187210999997</v>
      </c>
      <c r="AN22" s="190">
        <f t="shared" ref="AN22:AU22" si="56">AN17-AN18</f>
        <v>23659.16</v>
      </c>
      <c r="AO22" s="190">
        <f t="shared" si="56"/>
        <v>14107.680993000002</v>
      </c>
      <c r="AP22" s="192">
        <f t="shared" si="56"/>
        <v>12770.59771</v>
      </c>
      <c r="AQ22" s="193">
        <f t="shared" si="56"/>
        <v>26878.278703000004</v>
      </c>
      <c r="AR22" s="190">
        <f t="shared" si="56"/>
        <v>30158.426000000007</v>
      </c>
      <c r="AS22" s="190">
        <f t="shared" si="56"/>
        <v>13425.452464000002</v>
      </c>
      <c r="AT22" s="192">
        <f t="shared" si="56"/>
        <v>13562.664290000001</v>
      </c>
      <c r="AU22" s="193">
        <f t="shared" si="56"/>
        <v>26988.116753999999</v>
      </c>
      <c r="AV22" s="190">
        <f t="shared" ref="AV22:AY22" si="57">AV17-AV18</f>
        <v>85155.478000000003</v>
      </c>
      <c r="AW22" s="190">
        <f t="shared" si="57"/>
        <v>41918.830351000004</v>
      </c>
      <c r="AX22" s="192">
        <f t="shared" si="57"/>
        <v>35028.702803</v>
      </c>
      <c r="AY22" s="193">
        <f t="shared" si="57"/>
        <v>76947.533154000004</v>
      </c>
      <c r="AZ22" s="190">
        <f t="shared" ref="AZ22:BC22" si="58">AZ17-AZ18</f>
        <v>6312.3550000000287</v>
      </c>
      <c r="BA22" s="190">
        <f t="shared" si="58"/>
        <v>2673.8038429999997</v>
      </c>
      <c r="BB22" s="192">
        <f t="shared" si="58"/>
        <v>2316.7576960000006</v>
      </c>
      <c r="BC22" s="194">
        <f t="shared" si="58"/>
        <v>4990.5615390000003</v>
      </c>
    </row>
    <row r="23" spans="1:55" s="91" customFormat="1" ht="15" x14ac:dyDescent="0.2">
      <c r="A23" s="111"/>
      <c r="B23" s="112" t="s">
        <v>121</v>
      </c>
      <c r="C23" s="98"/>
      <c r="D23" s="270">
        <f t="shared" ref="D23:K23" si="59">D24+D31+D34</f>
        <v>26313.235000000001</v>
      </c>
      <c r="E23" s="271">
        <f>E24+E31+E34</f>
        <v>14140.54119</v>
      </c>
      <c r="F23" s="272">
        <f t="shared" si="59"/>
        <v>13681.023000000001</v>
      </c>
      <c r="G23" s="273">
        <f t="shared" si="59"/>
        <v>27821.564189999997</v>
      </c>
      <c r="H23" s="270">
        <f t="shared" si="59"/>
        <v>151700.62222033335</v>
      </c>
      <c r="I23" s="271">
        <f t="shared" si="59"/>
        <v>77371.246562</v>
      </c>
      <c r="J23" s="272">
        <f t="shared" si="59"/>
        <v>74250.024410000013</v>
      </c>
      <c r="K23" s="273">
        <f t="shared" si="59"/>
        <v>151621.270972</v>
      </c>
      <c r="L23" s="270">
        <f t="shared" ref="L23:P23" si="60">L24+L31+L34</f>
        <v>11656.593000000003</v>
      </c>
      <c r="M23" s="271">
        <f t="shared" si="60"/>
        <v>5151.4089109999995</v>
      </c>
      <c r="N23" s="272">
        <f t="shared" si="60"/>
        <v>4624.1217159999997</v>
      </c>
      <c r="O23" s="273">
        <f>O24+O31+O34</f>
        <v>9775.5306269999983</v>
      </c>
      <c r="P23" s="270">
        <f t="shared" si="60"/>
        <v>61862.017</v>
      </c>
      <c r="Q23" s="271">
        <f>Q24+Q31+Q34</f>
        <v>29546.245055000003</v>
      </c>
      <c r="R23" s="272">
        <f t="shared" ref="R23:S23" si="61">R24+R31+R34</f>
        <v>29375.273398999998</v>
      </c>
      <c r="S23" s="379">
        <f t="shared" si="61"/>
        <v>58921.518454000005</v>
      </c>
      <c r="T23" s="270">
        <f t="shared" ref="T23:AA23" si="62">T24+T31+T34</f>
        <v>18228.679</v>
      </c>
      <c r="U23" s="271">
        <f t="shared" si="62"/>
        <v>8685.8986319999985</v>
      </c>
      <c r="V23" s="272">
        <f t="shared" si="62"/>
        <v>8505.7713890000014</v>
      </c>
      <c r="W23" s="273">
        <f>W24+W31+W34</f>
        <v>17191.670021000002</v>
      </c>
      <c r="X23" s="270">
        <f t="shared" si="62"/>
        <v>11393.39</v>
      </c>
      <c r="Y23" s="271">
        <f t="shared" si="62"/>
        <v>5508.1503060000005</v>
      </c>
      <c r="Z23" s="272">
        <f t="shared" si="62"/>
        <v>5474.0409030000001</v>
      </c>
      <c r="AA23" s="273">
        <f t="shared" si="62"/>
        <v>10982.191209000001</v>
      </c>
      <c r="AB23" s="270">
        <f t="shared" ref="AB23:AE23" si="63">AB24+AB31+AB34</f>
        <v>11444.723999999998</v>
      </c>
      <c r="AC23" s="271">
        <f t="shared" si="63"/>
        <v>5622.1049999999996</v>
      </c>
      <c r="AD23" s="272">
        <f t="shared" si="63"/>
        <v>5851.56</v>
      </c>
      <c r="AE23" s="273">
        <f t="shared" si="63"/>
        <v>11473.665000000001</v>
      </c>
      <c r="AF23" s="270">
        <f t="shared" ref="AF23:AI23" si="64">AF24+AF31+AF34</f>
        <v>3265.9422</v>
      </c>
      <c r="AG23" s="172">
        <f t="shared" si="64"/>
        <v>2191.5100000000002</v>
      </c>
      <c r="AH23" s="173">
        <f t="shared" si="64"/>
        <v>2095.5909999999994</v>
      </c>
      <c r="AI23" s="186">
        <f t="shared" si="64"/>
        <v>4287.1009999999997</v>
      </c>
      <c r="AJ23" s="167">
        <f t="shared" ref="AJ23:AM23" si="65">AJ24+AJ31+AJ34</f>
        <v>36729.643152000004</v>
      </c>
      <c r="AK23" s="172">
        <f t="shared" si="65"/>
        <v>19405.281814999998</v>
      </c>
      <c r="AL23" s="173">
        <f t="shared" si="65"/>
        <v>18449.905395999998</v>
      </c>
      <c r="AM23" s="169">
        <f t="shared" si="65"/>
        <v>37855.187210999997</v>
      </c>
      <c r="AN23" s="167">
        <f t="shared" ref="AN23:AU23" si="66">AN24+AN31+AN34</f>
        <v>23659.16</v>
      </c>
      <c r="AO23" s="172">
        <f t="shared" si="66"/>
        <v>14107.680993</v>
      </c>
      <c r="AP23" s="173">
        <f t="shared" si="66"/>
        <v>12770.59771</v>
      </c>
      <c r="AQ23" s="169">
        <f t="shared" si="66"/>
        <v>26878.278702999996</v>
      </c>
      <c r="AR23" s="167">
        <f t="shared" si="66"/>
        <v>30158.425999999999</v>
      </c>
      <c r="AS23" s="172">
        <f t="shared" si="66"/>
        <v>13425.452464000002</v>
      </c>
      <c r="AT23" s="173">
        <f t="shared" si="66"/>
        <v>13562.664290000001</v>
      </c>
      <c r="AU23" s="169">
        <f t="shared" si="66"/>
        <v>26988.116753999999</v>
      </c>
      <c r="AV23" s="167">
        <f t="shared" ref="AV23:AY23" si="67">AV24+AV31+AV34</f>
        <v>85155.478000000017</v>
      </c>
      <c r="AW23" s="172">
        <f t="shared" si="67"/>
        <v>41918.830350999997</v>
      </c>
      <c r="AX23" s="173">
        <f t="shared" si="67"/>
        <v>35028.702803</v>
      </c>
      <c r="AY23" s="169">
        <f t="shared" si="67"/>
        <v>76947.53315399999</v>
      </c>
      <c r="AZ23" s="167">
        <f t="shared" ref="AZ23:BC23" si="68">AZ24+AZ31+AZ34</f>
        <v>6312.3550000000005</v>
      </c>
      <c r="BA23" s="172">
        <f t="shared" si="68"/>
        <v>2673.8038430000001</v>
      </c>
      <c r="BB23" s="173">
        <f t="shared" si="68"/>
        <v>2316.7576959999997</v>
      </c>
      <c r="BC23" s="186">
        <f t="shared" si="68"/>
        <v>4990.5615389999994</v>
      </c>
    </row>
    <row r="24" spans="1:55" s="106" customFormat="1" ht="14.25" x14ac:dyDescent="0.2">
      <c r="A24" s="377" t="s">
        <v>122</v>
      </c>
      <c r="B24" s="113" t="s">
        <v>123</v>
      </c>
      <c r="C24" s="114" t="s">
        <v>100</v>
      </c>
      <c r="D24" s="178">
        <f>D25+D28</f>
        <v>24103.034</v>
      </c>
      <c r="E24" s="179">
        <f t="shared" ref="E24:G24" si="69">E25+E28</f>
        <v>12934.49019</v>
      </c>
      <c r="F24" s="180">
        <f t="shared" si="69"/>
        <v>11876.701000000001</v>
      </c>
      <c r="G24" s="171">
        <f t="shared" si="69"/>
        <v>24811.191189999998</v>
      </c>
      <c r="H24" s="178">
        <f t="shared" ref="H24:K24" si="70">H25+H28</f>
        <v>105095.02965833334</v>
      </c>
      <c r="I24" s="179">
        <f t="shared" si="70"/>
        <v>57297.285380000001</v>
      </c>
      <c r="J24" s="180">
        <f t="shared" si="70"/>
        <v>52435.346256000004</v>
      </c>
      <c r="K24" s="171">
        <f t="shared" si="70"/>
        <v>109732.63163600001</v>
      </c>
      <c r="L24" s="178">
        <f t="shared" ref="L24:S24" si="71">L25+L28</f>
        <v>10494.508000000002</v>
      </c>
      <c r="M24" s="179">
        <f t="shared" si="71"/>
        <v>4578.705911</v>
      </c>
      <c r="N24" s="180">
        <f t="shared" si="71"/>
        <v>4254.7337159999997</v>
      </c>
      <c r="O24" s="171">
        <f>O25+O28</f>
        <v>8833.4396269999997</v>
      </c>
      <c r="P24" s="178">
        <f t="shared" si="71"/>
        <v>50235.608</v>
      </c>
      <c r="Q24" s="179">
        <f t="shared" si="71"/>
        <v>24974.104755</v>
      </c>
      <c r="R24" s="180">
        <f t="shared" si="71"/>
        <v>25818.401398999998</v>
      </c>
      <c r="S24" s="187">
        <f t="shared" si="71"/>
        <v>50792.506154000002</v>
      </c>
      <c r="T24" s="178">
        <f t="shared" ref="T24:AA24" si="72">T25+T28</f>
        <v>16661.309000000001</v>
      </c>
      <c r="U24" s="179">
        <f t="shared" si="72"/>
        <v>7740.7038319999992</v>
      </c>
      <c r="V24" s="180">
        <f t="shared" si="72"/>
        <v>7712.850139000001</v>
      </c>
      <c r="W24" s="171">
        <f t="shared" si="72"/>
        <v>15453.553971000001</v>
      </c>
      <c r="X24" s="178">
        <f t="shared" si="72"/>
        <v>10495.71</v>
      </c>
      <c r="Y24" s="179">
        <f t="shared" si="72"/>
        <v>5103.5718059999999</v>
      </c>
      <c r="Z24" s="180">
        <f t="shared" si="72"/>
        <v>5107.2529029999996</v>
      </c>
      <c r="AA24" s="171">
        <f t="shared" si="72"/>
        <v>10210.824709</v>
      </c>
      <c r="AB24" s="178">
        <f t="shared" ref="AB24:AE24" si="73">AB25+AB28</f>
        <v>9827.9299999999985</v>
      </c>
      <c r="AC24" s="179">
        <f t="shared" si="73"/>
        <v>4890.0649999999996</v>
      </c>
      <c r="AD24" s="180">
        <f t="shared" si="73"/>
        <v>5023.42</v>
      </c>
      <c r="AE24" s="171">
        <f t="shared" si="73"/>
        <v>9913.4850000000006</v>
      </c>
      <c r="AF24" s="178">
        <f t="shared" ref="AF24:AI24" si="74">AF25+AF28</f>
        <v>2912.165</v>
      </c>
      <c r="AG24" s="179">
        <f t="shared" si="74"/>
        <v>2022.6060000000002</v>
      </c>
      <c r="AH24" s="180">
        <f t="shared" si="74"/>
        <v>1914.5699999999997</v>
      </c>
      <c r="AI24" s="187">
        <f t="shared" si="74"/>
        <v>3937.1759999999999</v>
      </c>
      <c r="AJ24" s="178">
        <f t="shared" ref="AJ24:AM24" si="75">AJ25+AJ28</f>
        <v>31680.888000000003</v>
      </c>
      <c r="AK24" s="179">
        <f t="shared" si="75"/>
        <v>17387.374814999999</v>
      </c>
      <c r="AL24" s="180">
        <f t="shared" si="75"/>
        <v>16411.161396</v>
      </c>
      <c r="AM24" s="171">
        <f t="shared" si="75"/>
        <v>33798.536210999999</v>
      </c>
      <c r="AN24" s="178">
        <f t="shared" ref="AN24:AU24" si="76">AN25+AN28</f>
        <v>20364.87</v>
      </c>
      <c r="AO24" s="179">
        <f t="shared" si="76"/>
        <v>12261.188993</v>
      </c>
      <c r="AP24" s="180">
        <f t="shared" si="76"/>
        <v>11362.50985</v>
      </c>
      <c r="AQ24" s="171">
        <f t="shared" si="76"/>
        <v>23623.698842999998</v>
      </c>
      <c r="AR24" s="178">
        <f t="shared" si="76"/>
        <v>29159.360000000001</v>
      </c>
      <c r="AS24" s="179">
        <f t="shared" si="76"/>
        <v>12920.607725000002</v>
      </c>
      <c r="AT24" s="180">
        <f t="shared" si="76"/>
        <v>13041.02529</v>
      </c>
      <c r="AU24" s="171">
        <f t="shared" si="76"/>
        <v>25961.633014999999</v>
      </c>
      <c r="AV24" s="178">
        <f t="shared" ref="AV24:AY24" si="77">AV25+AV28</f>
        <v>72655.968000000008</v>
      </c>
      <c r="AW24" s="179">
        <f t="shared" si="77"/>
        <v>35973.329593000002</v>
      </c>
      <c r="AX24" s="180">
        <f t="shared" si="77"/>
        <v>29436.766603</v>
      </c>
      <c r="AY24" s="171">
        <f t="shared" si="77"/>
        <v>65410.096195999999</v>
      </c>
      <c r="AZ24" s="178">
        <f t="shared" ref="AZ24:BC24" si="78">AZ25+AZ28</f>
        <v>6228.9759999999997</v>
      </c>
      <c r="BA24" s="179">
        <f t="shared" si="78"/>
        <v>2651.1978429999999</v>
      </c>
      <c r="BB24" s="180">
        <f t="shared" si="78"/>
        <v>2289.4246959999996</v>
      </c>
      <c r="BC24" s="187">
        <f t="shared" si="78"/>
        <v>4940.622539</v>
      </c>
    </row>
    <row r="25" spans="1:55" s="91" customFormat="1" ht="15" x14ac:dyDescent="0.2">
      <c r="A25" s="110"/>
      <c r="B25" s="101" t="s">
        <v>124</v>
      </c>
      <c r="C25" s="98" t="s">
        <v>100</v>
      </c>
      <c r="D25" s="167"/>
      <c r="E25" s="172"/>
      <c r="F25" s="173"/>
      <c r="G25" s="186"/>
      <c r="H25" s="167">
        <f>H26+H27</f>
        <v>105095.02965833334</v>
      </c>
      <c r="I25" s="172">
        <f>'[21]1П'!$H$76</f>
        <v>57297.285380000001</v>
      </c>
      <c r="J25" s="173">
        <f>'[21]2П'!$H$76</f>
        <v>52435.346256000004</v>
      </c>
      <c r="K25" s="186">
        <f>[21]ГОД!$H$76</f>
        <v>109732.63163600001</v>
      </c>
      <c r="L25" s="167"/>
      <c r="M25" s="172"/>
      <c r="N25" s="173"/>
      <c r="O25" s="186"/>
      <c r="P25" s="167">
        <f>P26+P27</f>
        <v>50235.608</v>
      </c>
      <c r="Q25" s="172">
        <f>'[23]1П'!$H$76</f>
        <v>24974.104755</v>
      </c>
      <c r="R25" s="173">
        <f>'[23]2П'!$H$76</f>
        <v>25818.401398999998</v>
      </c>
      <c r="S25" s="186">
        <f t="shared" ref="S25:S27" si="79">Q25+R25</f>
        <v>50792.506154000002</v>
      </c>
      <c r="T25" s="167"/>
      <c r="U25" s="172"/>
      <c r="V25" s="173"/>
      <c r="W25" s="186"/>
      <c r="X25" s="167"/>
      <c r="Y25" s="172"/>
      <c r="Z25" s="173"/>
      <c r="AA25" s="186"/>
      <c r="AB25" s="167"/>
      <c r="AC25" s="172"/>
      <c r="AD25" s="173"/>
      <c r="AE25" s="186"/>
      <c r="AF25" s="167"/>
      <c r="AG25" s="172"/>
      <c r="AH25" s="173"/>
      <c r="AI25" s="186"/>
      <c r="AJ25" s="167"/>
      <c r="AK25" s="172"/>
      <c r="AL25" s="173"/>
      <c r="AM25" s="186"/>
      <c r="AN25" s="167"/>
      <c r="AO25" s="172"/>
      <c r="AP25" s="173"/>
      <c r="AQ25" s="186"/>
      <c r="AR25" s="172"/>
      <c r="AS25" s="172"/>
      <c r="AT25" s="173"/>
      <c r="AU25" s="186"/>
      <c r="AV25" s="167">
        <f>AV26+AV27</f>
        <v>72655.968000000008</v>
      </c>
      <c r="AW25" s="172">
        <f>'[30]1П'!$H$76</f>
        <v>35973.329593000002</v>
      </c>
      <c r="AX25" s="173">
        <f>'[30]2П'!$H$76</f>
        <v>29436.766603</v>
      </c>
      <c r="AY25" s="186">
        <f t="shared" ref="AY25:AY27" si="80">AW25+AX25</f>
        <v>65410.096195999999</v>
      </c>
      <c r="AZ25" s="167"/>
      <c r="BA25" s="172"/>
      <c r="BB25" s="173"/>
      <c r="BC25" s="186"/>
    </row>
    <row r="26" spans="1:55" s="247" customFormat="1" ht="15" x14ac:dyDescent="0.2">
      <c r="A26" s="241"/>
      <c r="B26" s="242" t="s">
        <v>125</v>
      </c>
      <c r="C26" s="243" t="s">
        <v>100</v>
      </c>
      <c r="D26" s="244"/>
      <c r="E26" s="260"/>
      <c r="F26" s="261"/>
      <c r="G26" s="245"/>
      <c r="H26" s="244">
        <v>49860.254424042549</v>
      </c>
      <c r="I26" s="260">
        <v>43598.993999999999</v>
      </c>
      <c r="J26" s="261">
        <f>86171.446092-I26</f>
        <v>42572.452092</v>
      </c>
      <c r="K26" s="245">
        <f t="shared" ref="K26:K27" si="81">I26+J26</f>
        <v>86171.446091999998</v>
      </c>
      <c r="L26" s="244"/>
      <c r="M26" s="260"/>
      <c r="N26" s="261"/>
      <c r="O26" s="245"/>
      <c r="P26" s="244">
        <v>5410.2106066205943</v>
      </c>
      <c r="Q26" s="260">
        <v>4140.6428389999992</v>
      </c>
      <c r="R26" s="261">
        <v>5842.1712900000002</v>
      </c>
      <c r="S26" s="245">
        <f t="shared" si="79"/>
        <v>9982.8141289999985</v>
      </c>
      <c r="T26" s="244"/>
      <c r="U26" s="260"/>
      <c r="V26" s="261"/>
      <c r="W26" s="245"/>
      <c r="X26" s="244"/>
      <c r="Y26" s="260"/>
      <c r="Z26" s="261"/>
      <c r="AA26" s="245"/>
      <c r="AB26" s="244"/>
      <c r="AC26" s="260"/>
      <c r="AD26" s="261"/>
      <c r="AE26" s="245"/>
      <c r="AF26" s="244"/>
      <c r="AG26" s="260"/>
      <c r="AH26" s="261"/>
      <c r="AI26" s="245"/>
      <c r="AJ26" s="244"/>
      <c r="AK26" s="260"/>
      <c r="AL26" s="261"/>
      <c r="AM26" s="245"/>
      <c r="AN26" s="244"/>
      <c r="AO26" s="260"/>
      <c r="AP26" s="261"/>
      <c r="AQ26" s="245"/>
      <c r="AR26" s="246"/>
      <c r="AS26" s="260"/>
      <c r="AT26" s="261"/>
      <c r="AU26" s="245"/>
      <c r="AV26" s="244">
        <v>72452.127039493309</v>
      </c>
      <c r="AW26" s="260">
        <v>20515.359804</v>
      </c>
      <c r="AX26" s="261">
        <v>23022.785</v>
      </c>
      <c r="AY26" s="245">
        <f t="shared" si="80"/>
        <v>43538.144803999996</v>
      </c>
      <c r="AZ26" s="244"/>
      <c r="BA26" s="260"/>
      <c r="BB26" s="261"/>
      <c r="BC26" s="245"/>
    </row>
    <row r="27" spans="1:55" s="91" customFormat="1" ht="15" x14ac:dyDescent="0.2">
      <c r="A27" s="110"/>
      <c r="B27" s="97" t="s">
        <v>126</v>
      </c>
      <c r="C27" s="98" t="s">
        <v>100</v>
      </c>
      <c r="D27" s="167"/>
      <c r="E27" s="172"/>
      <c r="F27" s="173"/>
      <c r="G27" s="186"/>
      <c r="H27" s="167">
        <v>55234.775234290792</v>
      </c>
      <c r="I27" s="172">
        <f>I25-I26</f>
        <v>13698.291380000002</v>
      </c>
      <c r="J27" s="173">
        <f>J25-J26</f>
        <v>9862.8941640000048</v>
      </c>
      <c r="K27" s="186">
        <f t="shared" si="81"/>
        <v>23561.185544000007</v>
      </c>
      <c r="L27" s="167"/>
      <c r="M27" s="172"/>
      <c r="N27" s="173"/>
      <c r="O27" s="186"/>
      <c r="P27" s="167">
        <v>44825.397393379404</v>
      </c>
      <c r="Q27" s="172">
        <f>Q25-Q26</f>
        <v>20833.461916</v>
      </c>
      <c r="R27" s="173">
        <f>R25-R26</f>
        <v>19976.230108999996</v>
      </c>
      <c r="S27" s="186">
        <f t="shared" si="79"/>
        <v>40809.692024999997</v>
      </c>
      <c r="T27" s="167"/>
      <c r="U27" s="172"/>
      <c r="V27" s="173"/>
      <c r="W27" s="186"/>
      <c r="X27" s="167"/>
      <c r="Y27" s="172"/>
      <c r="Z27" s="173"/>
      <c r="AA27" s="186"/>
      <c r="AB27" s="167"/>
      <c r="AC27" s="172"/>
      <c r="AD27" s="173"/>
      <c r="AE27" s="186"/>
      <c r="AF27" s="167"/>
      <c r="AG27" s="172"/>
      <c r="AH27" s="173"/>
      <c r="AI27" s="186"/>
      <c r="AJ27" s="167"/>
      <c r="AK27" s="172"/>
      <c r="AL27" s="173"/>
      <c r="AM27" s="186"/>
      <c r="AN27" s="167"/>
      <c r="AO27" s="172"/>
      <c r="AP27" s="173"/>
      <c r="AQ27" s="186"/>
      <c r="AR27" s="167"/>
      <c r="AS27" s="172"/>
      <c r="AT27" s="173"/>
      <c r="AU27" s="186"/>
      <c r="AV27" s="167">
        <v>203.84096050669905</v>
      </c>
      <c r="AW27" s="172">
        <f>AW25-AW26</f>
        <v>15457.969789000002</v>
      </c>
      <c r="AX27" s="173">
        <f>AX25-AX26</f>
        <v>6413.9816030000002</v>
      </c>
      <c r="AY27" s="186">
        <f t="shared" si="80"/>
        <v>21871.951392000003</v>
      </c>
      <c r="AZ27" s="167"/>
      <c r="BA27" s="172"/>
      <c r="BB27" s="173"/>
      <c r="BC27" s="186"/>
    </row>
    <row r="28" spans="1:55" s="91" customFormat="1" ht="15" x14ac:dyDescent="0.2">
      <c r="A28" s="110" t="s">
        <v>127</v>
      </c>
      <c r="B28" s="101" t="s">
        <v>128</v>
      </c>
      <c r="C28" s="98" t="s">
        <v>100</v>
      </c>
      <c r="D28" s="167">
        <f>D29+D30</f>
        <v>24103.034</v>
      </c>
      <c r="E28" s="172">
        <f>'[18]1П'!$H$76</f>
        <v>12934.49019</v>
      </c>
      <c r="F28" s="173">
        <f>'[18]2П'!$H$76</f>
        <v>11876.701000000001</v>
      </c>
      <c r="G28" s="169">
        <f>[18]ГОД!$H$76</f>
        <v>24811.191189999998</v>
      </c>
      <c r="H28" s="167"/>
      <c r="I28" s="172"/>
      <c r="J28" s="173"/>
      <c r="K28" s="169"/>
      <c r="L28" s="167">
        <f>L29+L30</f>
        <v>10494.508000000002</v>
      </c>
      <c r="M28" s="172">
        <f>'[22]1П'!$H$76</f>
        <v>4578.705911</v>
      </c>
      <c r="N28" s="173">
        <f>'[22]2П'!$H$76</f>
        <v>4254.7337159999997</v>
      </c>
      <c r="O28" s="169">
        <f t="shared" ref="O28:O30" si="82">M28+N28</f>
        <v>8833.4396269999997</v>
      </c>
      <c r="P28" s="167"/>
      <c r="Q28" s="172"/>
      <c r="R28" s="173"/>
      <c r="S28" s="186"/>
      <c r="T28" s="167">
        <f>T29+T30</f>
        <v>16661.309000000001</v>
      </c>
      <c r="U28" s="172">
        <f>'[24]1П'!$H$76</f>
        <v>7740.7038319999992</v>
      </c>
      <c r="V28" s="173">
        <f>'[24]2П'!$H$76</f>
        <v>7712.850139000001</v>
      </c>
      <c r="W28" s="169">
        <f t="shared" ref="W28:W30" si="83">U28+V28</f>
        <v>15453.553971000001</v>
      </c>
      <c r="X28" s="167">
        <f>X29+X30</f>
        <v>10495.71</v>
      </c>
      <c r="Y28" s="172">
        <f>'[25]1П'!$H$76</f>
        <v>5103.5718059999999</v>
      </c>
      <c r="Z28" s="173">
        <f>'[25]2П'!$H$76</f>
        <v>5107.2529029999996</v>
      </c>
      <c r="AA28" s="169">
        <f t="shared" ref="AA28:AA30" si="84">Y28+Z28</f>
        <v>10210.824709</v>
      </c>
      <c r="AB28" s="167">
        <f>AB29+AB30</f>
        <v>9827.9299999999985</v>
      </c>
      <c r="AC28" s="172">
        <f>'[26]1П'!$H$76</f>
        <v>4890.0649999999996</v>
      </c>
      <c r="AD28" s="173">
        <f>'[26]2П'!$H$76</f>
        <v>5023.42</v>
      </c>
      <c r="AE28" s="169">
        <f t="shared" ref="AE28:AE30" si="85">AC28+AD28</f>
        <v>9913.4850000000006</v>
      </c>
      <c r="AF28" s="167">
        <f>AF29+AF30</f>
        <v>2912.165</v>
      </c>
      <c r="AG28" s="172">
        <f>'[19]1П'!$H$76</f>
        <v>2022.6060000000002</v>
      </c>
      <c r="AH28" s="173">
        <f>'[19]2П'!$H$76</f>
        <v>1914.5699999999997</v>
      </c>
      <c r="AI28" s="186">
        <f t="shared" ref="AI28:AI30" si="86">AG28+AH28</f>
        <v>3937.1759999999999</v>
      </c>
      <c r="AJ28" s="167">
        <f>AJ29+AJ30</f>
        <v>31680.888000000003</v>
      </c>
      <c r="AK28" s="172">
        <f>'[27]1П'!$H$76</f>
        <v>17387.374814999999</v>
      </c>
      <c r="AL28" s="173">
        <f>'[27]2П'!$H$76</f>
        <v>16411.161396</v>
      </c>
      <c r="AM28" s="169">
        <f t="shared" ref="AM28:AM30" si="87">AK28+AL28</f>
        <v>33798.536210999999</v>
      </c>
      <c r="AN28" s="167">
        <f>AN29+AN30</f>
        <v>20364.87</v>
      </c>
      <c r="AO28" s="172">
        <f>'[28]1П'!$H$76</f>
        <v>12261.188993</v>
      </c>
      <c r="AP28" s="173">
        <f>'[28]2П'!$H$76</f>
        <v>11362.50985</v>
      </c>
      <c r="AQ28" s="169">
        <f t="shared" ref="AQ28:AQ30" si="88">AO28+AP28</f>
        <v>23623.698842999998</v>
      </c>
      <c r="AR28" s="167">
        <f>AR29+AR30</f>
        <v>29159.360000000001</v>
      </c>
      <c r="AS28" s="172">
        <f>'[29]1П'!$H$76</f>
        <v>12920.607725000002</v>
      </c>
      <c r="AT28" s="173">
        <f>'[29]2П'!$H$76</f>
        <v>13041.02529</v>
      </c>
      <c r="AU28" s="169">
        <f t="shared" ref="AU28:AU30" si="89">AS28+AT28</f>
        <v>25961.633014999999</v>
      </c>
      <c r="AV28" s="167"/>
      <c r="AW28" s="172"/>
      <c r="AX28" s="173"/>
      <c r="AY28" s="169"/>
      <c r="AZ28" s="167">
        <f>AZ29+AZ30</f>
        <v>6228.9759999999997</v>
      </c>
      <c r="BA28" s="172">
        <f>'[20]1П'!$H$76</f>
        <v>2651.1978429999999</v>
      </c>
      <c r="BB28" s="173">
        <f>'[20]2П'!$H$76</f>
        <v>2289.4246959999996</v>
      </c>
      <c r="BC28" s="186">
        <f t="shared" ref="BC28:BC30" si="90">BA28+BB28</f>
        <v>4940.622539</v>
      </c>
    </row>
    <row r="29" spans="1:55" s="247" customFormat="1" ht="15" x14ac:dyDescent="0.2">
      <c r="A29" s="378"/>
      <c r="B29" s="248" t="s">
        <v>125</v>
      </c>
      <c r="C29" s="249" t="s">
        <v>100</v>
      </c>
      <c r="D29" s="246">
        <v>19102.9235428641</v>
      </c>
      <c r="E29" s="266">
        <v>5814.384</v>
      </c>
      <c r="F29" s="267">
        <v>5986.8190000000004</v>
      </c>
      <c r="G29" s="250">
        <f t="shared" ref="G29" si="91">E29+F29</f>
        <v>11801.203000000001</v>
      </c>
      <c r="H29" s="246"/>
      <c r="I29" s="266"/>
      <c r="J29" s="267"/>
      <c r="K29" s="250"/>
      <c r="L29" s="246">
        <v>771.29536832313806</v>
      </c>
      <c r="M29" s="266">
        <v>816.37799999999993</v>
      </c>
      <c r="N29" s="267">
        <v>813.61099999999999</v>
      </c>
      <c r="O29" s="250">
        <f t="shared" si="82"/>
        <v>1629.989</v>
      </c>
      <c r="P29" s="246"/>
      <c r="Q29" s="266"/>
      <c r="R29" s="267"/>
      <c r="S29" s="245"/>
      <c r="T29" s="246">
        <v>10054.046094110572</v>
      </c>
      <c r="U29" s="266">
        <v>5089.3049999999994</v>
      </c>
      <c r="V29" s="267">
        <v>5487.4808710000007</v>
      </c>
      <c r="W29" s="250">
        <f t="shared" si="83"/>
        <v>10576.785871</v>
      </c>
      <c r="X29" s="246">
        <v>7060.2422368790612</v>
      </c>
      <c r="Y29" s="266">
        <v>3613.5750000000003</v>
      </c>
      <c r="Z29" s="267">
        <v>3626.9149030000003</v>
      </c>
      <c r="AA29" s="250">
        <f t="shared" si="84"/>
        <v>7240.4899030000006</v>
      </c>
      <c r="AB29" s="246">
        <v>6616</v>
      </c>
      <c r="AC29" s="266">
        <v>3072</v>
      </c>
      <c r="AD29" s="267">
        <v>3379.21</v>
      </c>
      <c r="AE29" s="250">
        <f t="shared" si="85"/>
        <v>6451.21</v>
      </c>
      <c r="AF29" s="246">
        <v>1568.6650000000002</v>
      </c>
      <c r="AG29" s="266">
        <v>1025.7059999999999</v>
      </c>
      <c r="AH29" s="267">
        <v>974.49</v>
      </c>
      <c r="AI29" s="245">
        <f t="shared" si="86"/>
        <v>2000.1959999999999</v>
      </c>
      <c r="AJ29" s="246">
        <v>16489.598999999998</v>
      </c>
      <c r="AK29" s="266">
        <v>10355.489000000001</v>
      </c>
      <c r="AL29" s="267">
        <v>12955.705666999998</v>
      </c>
      <c r="AM29" s="250">
        <f t="shared" si="87"/>
        <v>23311.194667</v>
      </c>
      <c r="AN29" s="246">
        <v>10884.647579185683</v>
      </c>
      <c r="AO29" s="266">
        <v>7217.34854</v>
      </c>
      <c r="AP29" s="267">
        <v>7017.2089999999998</v>
      </c>
      <c r="AQ29" s="250">
        <f t="shared" si="88"/>
        <v>14234.55754</v>
      </c>
      <c r="AR29" s="246">
        <v>1463.0041728320541</v>
      </c>
      <c r="AS29" s="266">
        <v>765.25574099999994</v>
      </c>
      <c r="AT29" s="267">
        <v>884.649</v>
      </c>
      <c r="AU29" s="250">
        <f t="shared" si="89"/>
        <v>1649.9047409999998</v>
      </c>
      <c r="AV29" s="246"/>
      <c r="AW29" s="266"/>
      <c r="AX29" s="267"/>
      <c r="AY29" s="250"/>
      <c r="AZ29" s="246">
        <v>1429.6239640161868</v>
      </c>
      <c r="BA29" s="266">
        <v>520.654</v>
      </c>
      <c r="BB29" s="267">
        <v>451.67199999999997</v>
      </c>
      <c r="BC29" s="245">
        <f t="shared" si="90"/>
        <v>972.32600000000002</v>
      </c>
    </row>
    <row r="30" spans="1:55" s="91" customFormat="1" ht="15" x14ac:dyDescent="0.2">
      <c r="A30" s="110"/>
      <c r="B30" s="97" t="s">
        <v>126</v>
      </c>
      <c r="C30" s="98" t="s">
        <v>100</v>
      </c>
      <c r="D30" s="167">
        <v>5000.1104571358992</v>
      </c>
      <c r="E30" s="172">
        <f>E28-E29</f>
        <v>7120.1061900000004</v>
      </c>
      <c r="F30" s="173">
        <f>F28-F29</f>
        <v>5889.8820000000005</v>
      </c>
      <c r="G30" s="169">
        <f>G28-G29</f>
        <v>13009.988189999996</v>
      </c>
      <c r="H30" s="167"/>
      <c r="I30" s="172"/>
      <c r="J30" s="173"/>
      <c r="K30" s="169"/>
      <c r="L30" s="167">
        <v>9723.2126316768627</v>
      </c>
      <c r="M30" s="172">
        <f>M28-M29</f>
        <v>3762.3279110000003</v>
      </c>
      <c r="N30" s="173">
        <f>N28-N29</f>
        <v>3441.1227159999999</v>
      </c>
      <c r="O30" s="169">
        <f t="shared" si="82"/>
        <v>7203.4506270000002</v>
      </c>
      <c r="P30" s="167"/>
      <c r="Q30" s="172"/>
      <c r="R30" s="173"/>
      <c r="S30" s="186"/>
      <c r="T30" s="167">
        <v>6607.262905889429</v>
      </c>
      <c r="U30" s="172">
        <f>U28-U29</f>
        <v>2651.3988319999999</v>
      </c>
      <c r="V30" s="173">
        <f>V28-V29</f>
        <v>2225.3692680000004</v>
      </c>
      <c r="W30" s="169">
        <f t="shared" si="83"/>
        <v>4876.7681000000002</v>
      </c>
      <c r="X30" s="167">
        <v>3435.4677631209379</v>
      </c>
      <c r="Y30" s="172">
        <f>Y28-Y29</f>
        <v>1489.9968059999997</v>
      </c>
      <c r="Z30" s="173">
        <f>Z28-Z29</f>
        <v>1480.3379999999993</v>
      </c>
      <c r="AA30" s="169">
        <f t="shared" si="84"/>
        <v>2970.3348059999989</v>
      </c>
      <c r="AB30" s="167">
        <v>3211.9299999999985</v>
      </c>
      <c r="AC30" s="172">
        <f>AC28-AC29</f>
        <v>1818.0649999999996</v>
      </c>
      <c r="AD30" s="173">
        <f>AD28-AD29</f>
        <v>1644.21</v>
      </c>
      <c r="AE30" s="169">
        <f t="shared" si="85"/>
        <v>3462.2749999999996</v>
      </c>
      <c r="AF30" s="167">
        <v>1343.4999999999998</v>
      </c>
      <c r="AG30" s="172">
        <f>AG28-AG29</f>
        <v>996.90000000000032</v>
      </c>
      <c r="AH30" s="173">
        <f>AH28-AH29</f>
        <v>940.0799999999997</v>
      </c>
      <c r="AI30" s="186">
        <f t="shared" si="86"/>
        <v>1936.98</v>
      </c>
      <c r="AJ30" s="167">
        <v>15191.289000000004</v>
      </c>
      <c r="AK30" s="172">
        <f>AK28-AK29</f>
        <v>7031.8858149999978</v>
      </c>
      <c r="AL30" s="173">
        <f>AL28-AL29</f>
        <v>3455.4557290000012</v>
      </c>
      <c r="AM30" s="169">
        <f t="shared" si="87"/>
        <v>10487.341543999999</v>
      </c>
      <c r="AN30" s="167">
        <v>9480.2224208143161</v>
      </c>
      <c r="AO30" s="172">
        <f>AO28-AO29</f>
        <v>5043.8404529999998</v>
      </c>
      <c r="AP30" s="173">
        <f>AP28-AP29</f>
        <v>4345.3008500000005</v>
      </c>
      <c r="AQ30" s="169">
        <f t="shared" si="88"/>
        <v>9389.1413030000003</v>
      </c>
      <c r="AR30" s="167">
        <v>27696.355827167947</v>
      </c>
      <c r="AS30" s="172">
        <f>AS28-AS29</f>
        <v>12155.351984000001</v>
      </c>
      <c r="AT30" s="173">
        <f>AT28-AT29</f>
        <v>12156.37629</v>
      </c>
      <c r="AU30" s="169">
        <f t="shared" si="89"/>
        <v>24311.728274000001</v>
      </c>
      <c r="AV30" s="167"/>
      <c r="AW30" s="172"/>
      <c r="AX30" s="173"/>
      <c r="AY30" s="169"/>
      <c r="AZ30" s="167">
        <v>4799.352035983813</v>
      </c>
      <c r="BA30" s="172">
        <f>BA28-BA29</f>
        <v>2130.5438429999999</v>
      </c>
      <c r="BB30" s="173">
        <f>BB28-BB29</f>
        <v>1837.7526959999996</v>
      </c>
      <c r="BC30" s="186">
        <f t="shared" si="90"/>
        <v>3968.2965389999995</v>
      </c>
    </row>
    <row r="31" spans="1:55" s="106" customFormat="1" ht="14.25" x14ac:dyDescent="0.2">
      <c r="A31" s="377" t="s">
        <v>129</v>
      </c>
      <c r="B31" s="115" t="s">
        <v>130</v>
      </c>
      <c r="C31" s="114" t="s">
        <v>100</v>
      </c>
      <c r="D31" s="178">
        <f t="shared" ref="D31:AF31" si="92">D32+D33</f>
        <v>1867.7819999999999</v>
      </c>
      <c r="E31" s="179">
        <f>SUM('[18]1П'!$H$78:$H$80)</f>
        <v>930.69600000000003</v>
      </c>
      <c r="F31" s="180">
        <f>SUM('[18]2П'!$H$78:$H$80)</f>
        <v>1054.1179999999999</v>
      </c>
      <c r="G31" s="171">
        <f t="shared" ref="G31" si="93">G32+G33</f>
        <v>1984.8139999999999</v>
      </c>
      <c r="H31" s="178">
        <f t="shared" si="92"/>
        <v>13202.506930333335</v>
      </c>
      <c r="I31" s="179">
        <f>SUM('[21]1П'!$H$78:$H$80)</f>
        <v>5021.9451820000004</v>
      </c>
      <c r="J31" s="180">
        <f>SUM('[21]2П'!$H$78:$H$80)</f>
        <v>4580.896154</v>
      </c>
      <c r="K31" s="171">
        <f t="shared" ref="K31" si="94">K32+K33</f>
        <v>9602.8413360000013</v>
      </c>
      <c r="L31" s="178">
        <f t="shared" si="92"/>
        <v>758.14400000000001</v>
      </c>
      <c r="M31" s="179">
        <f>SUM('[22]1П'!$H$78:$H$80)</f>
        <v>483.279</v>
      </c>
      <c r="N31" s="180">
        <f>SUM('[22]2П'!$H$78:$H$80)</f>
        <v>282.21799999999996</v>
      </c>
      <c r="O31" s="171">
        <f>SUM([22]ГОД!$H$78:$H$80)</f>
        <v>765.49700000000018</v>
      </c>
      <c r="P31" s="178">
        <f t="shared" si="92"/>
        <v>8713.15</v>
      </c>
      <c r="Q31" s="179">
        <f>SUM('[23]1П'!$H$78:$H$80)</f>
        <v>3551.5780000000004</v>
      </c>
      <c r="R31" s="180">
        <f>SUM('[23]2П'!$H$78:$H$80)</f>
        <v>2509.817</v>
      </c>
      <c r="S31" s="187">
        <f>SUM([23]ГОД!$H$78:$H$80)</f>
        <v>6061.3950000000004</v>
      </c>
      <c r="T31" s="178">
        <f t="shared" si="92"/>
        <v>1101.914</v>
      </c>
      <c r="U31" s="179">
        <f>SUM('[24]1П'!$H$78:$H$80)</f>
        <v>627.82979999999998</v>
      </c>
      <c r="V31" s="180">
        <f>SUM('[24]2П'!$H$78:$H$80)</f>
        <v>472.88524999999993</v>
      </c>
      <c r="W31" s="171">
        <f t="shared" ref="W31" si="95">W32+W33</f>
        <v>1100.7150499999998</v>
      </c>
      <c r="X31" s="170">
        <f t="shared" si="92"/>
        <v>531.601</v>
      </c>
      <c r="Y31" s="179">
        <f>SUM('[25]1П'!$H$78:$H$80)</f>
        <v>230.43450000000001</v>
      </c>
      <c r="Z31" s="180">
        <f>SUM('[25]2П'!$H$78:$H$80)</f>
        <v>181.11199999999997</v>
      </c>
      <c r="AA31" s="171">
        <f>SUM([25]ГОД!$H$78:$H$80)</f>
        <v>411.54649999999992</v>
      </c>
      <c r="AB31" s="178">
        <f t="shared" si="92"/>
        <v>938.548</v>
      </c>
      <c r="AC31" s="179">
        <f>SUM('[26]1П'!$H$78:$H$80)</f>
        <v>318.60000000000002</v>
      </c>
      <c r="AD31" s="180">
        <f>SUM('[26]2П'!$H$78:$H$80)</f>
        <v>388.3</v>
      </c>
      <c r="AE31" s="171">
        <f>SUM([26]ГОД!$H$78:$H$80)</f>
        <v>706.9</v>
      </c>
      <c r="AF31" s="178">
        <f t="shared" si="92"/>
        <v>256.33319999999998</v>
      </c>
      <c r="AG31" s="179">
        <f>SUM('[19]1П'!$H$78:$H$80)</f>
        <v>113.562</v>
      </c>
      <c r="AH31" s="180">
        <f>SUM('[19]2П'!$H$78:$H$80)</f>
        <v>106.74400000000001</v>
      </c>
      <c r="AI31" s="187">
        <f>SUM([19]ГОД!$H$78:$H$80)</f>
        <v>220.30600000000001</v>
      </c>
      <c r="AJ31" s="178">
        <f t="shared" ref="AJ31:AZ31" si="96">AJ32+AJ33</f>
        <v>3022.2845520000001</v>
      </c>
      <c r="AK31" s="179">
        <f>SUM('[27]1П'!$H$78:$H$80)</f>
        <v>1301.3200000000002</v>
      </c>
      <c r="AL31" s="180">
        <f>SUM('[27]2П'!$H$78:$H$80)</f>
        <v>1151.261</v>
      </c>
      <c r="AM31" s="171">
        <f>SUM([27]ГОД!$H$78:$H$80)</f>
        <v>2452.5810000000001</v>
      </c>
      <c r="AN31" s="178">
        <f t="shared" si="96"/>
        <v>2911.2370000000001</v>
      </c>
      <c r="AO31" s="179">
        <f>SUM('[28]1П'!$H$78:$H$80)</f>
        <v>1722.9400000000003</v>
      </c>
      <c r="AP31" s="180">
        <f>SUM('[28]2П'!$H$78:$H$80)</f>
        <v>1290.4270000000001</v>
      </c>
      <c r="AQ31" s="171">
        <f>SUM([28]ГОД!$H$78:$H$80)</f>
        <v>3013.3670000000002</v>
      </c>
      <c r="AR31" s="178">
        <f t="shared" si="96"/>
        <v>920.73299999999995</v>
      </c>
      <c r="AS31" s="179">
        <f>SUM('[29]1П'!$H$78:$H$80)</f>
        <v>443.844739</v>
      </c>
      <c r="AT31" s="180">
        <f>SUM('[29]2П'!$H$78:$H$80)</f>
        <v>446.04</v>
      </c>
      <c r="AU31" s="171">
        <f>SUM([29]ГОД!$H$78:$H$80)</f>
        <v>889.88473900000008</v>
      </c>
      <c r="AV31" s="178">
        <f t="shared" si="96"/>
        <v>9274.18</v>
      </c>
      <c r="AW31" s="179">
        <f>SUM('[30]1П'!$H$78:$H$80)</f>
        <v>4632.6397580000003</v>
      </c>
      <c r="AX31" s="180">
        <f>SUM('[30]2П'!$H$78:$H$80)</f>
        <v>3615.0592000000001</v>
      </c>
      <c r="AY31" s="171">
        <f>SUM([30]ГОД!$H$78:$H$80)</f>
        <v>8247.698957999999</v>
      </c>
      <c r="AZ31" s="178">
        <f t="shared" si="96"/>
        <v>9.2699999999999978</v>
      </c>
      <c r="BA31" s="179">
        <f>SUM('[20]1П'!$H$78:$H$80)</f>
        <v>2.1480000000000001</v>
      </c>
      <c r="BB31" s="180">
        <f>SUM('[20]2П'!$H$78:$H$80)</f>
        <v>2.3410000000000002</v>
      </c>
      <c r="BC31" s="187">
        <f>SUM([20]ГОД!$H$78:$H$80)</f>
        <v>4.4889999999999999</v>
      </c>
    </row>
    <row r="32" spans="1:55" s="247" customFormat="1" ht="15" x14ac:dyDescent="0.2">
      <c r="A32" s="251"/>
      <c r="B32" s="252" t="s">
        <v>125</v>
      </c>
      <c r="C32" s="253" t="s">
        <v>100</v>
      </c>
      <c r="D32" s="254">
        <v>1867.7819999999999</v>
      </c>
      <c r="E32" s="264">
        <v>930.69600000000003</v>
      </c>
      <c r="F32" s="265">
        <v>1054.1179999999999</v>
      </c>
      <c r="G32" s="255">
        <f>E32+F32</f>
        <v>1984.8139999999999</v>
      </c>
      <c r="H32" s="254">
        <v>7043.0376872156212</v>
      </c>
      <c r="I32" s="264">
        <v>3992.575182</v>
      </c>
      <c r="J32" s="265">
        <f>8178.191336-I32</f>
        <v>4185.6161539999994</v>
      </c>
      <c r="K32" s="255">
        <f>I32+J32</f>
        <v>8178.1913359999999</v>
      </c>
      <c r="L32" s="254">
        <v>374.55128635453838</v>
      </c>
      <c r="M32" s="264">
        <v>474.87899999999991</v>
      </c>
      <c r="N32" s="265">
        <v>273.81800000000004</v>
      </c>
      <c r="O32" s="255">
        <f>M32+N32</f>
        <v>748.69699999999989</v>
      </c>
      <c r="P32" s="254">
        <v>8591.6022019210668</v>
      </c>
      <c r="Q32" s="264">
        <v>3498.058</v>
      </c>
      <c r="R32" s="265">
        <v>2456.297</v>
      </c>
      <c r="S32" s="256">
        <f>Q32+R32</f>
        <v>5954.3549999999996</v>
      </c>
      <c r="T32" s="254">
        <v>837.95049748415602</v>
      </c>
      <c r="U32" s="264">
        <v>530</v>
      </c>
      <c r="V32" s="265">
        <v>375.13</v>
      </c>
      <c r="W32" s="255">
        <f>U32+V32</f>
        <v>905.13</v>
      </c>
      <c r="X32" s="246">
        <v>531.601</v>
      </c>
      <c r="Y32" s="264">
        <v>230.43450000000001</v>
      </c>
      <c r="Z32" s="265">
        <v>181.11199999999999</v>
      </c>
      <c r="AA32" s="255">
        <f>Y32+Z32</f>
        <v>411.54650000000004</v>
      </c>
      <c r="AB32" s="254">
        <v>938.548</v>
      </c>
      <c r="AC32" s="254">
        <v>318.60000000000002</v>
      </c>
      <c r="AD32" s="254">
        <v>388.3</v>
      </c>
      <c r="AE32" s="255">
        <f>AC32+AD32</f>
        <v>706.90000000000009</v>
      </c>
      <c r="AF32" s="254">
        <v>247.34520000000003</v>
      </c>
      <c r="AG32" s="264">
        <v>110.31</v>
      </c>
      <c r="AH32" s="265">
        <v>103.744</v>
      </c>
      <c r="AI32" s="256">
        <f>AG32+AH32</f>
        <v>214.054</v>
      </c>
      <c r="AJ32" s="254">
        <v>2972.625</v>
      </c>
      <c r="AK32" s="264">
        <v>1288.3679999999999</v>
      </c>
      <c r="AL32" s="265">
        <v>1138.155</v>
      </c>
      <c r="AM32" s="255">
        <f>AK32+AL32</f>
        <v>2426.5230000000001</v>
      </c>
      <c r="AN32" s="254">
        <v>1454.965789286365</v>
      </c>
      <c r="AO32" s="264">
        <v>1720.5219999999997</v>
      </c>
      <c r="AP32" s="265">
        <v>1288.0089999999998</v>
      </c>
      <c r="AQ32" s="255">
        <f>AO32+AP32</f>
        <v>3008.5309999999995</v>
      </c>
      <c r="AR32" s="254">
        <v>902.81337453358185</v>
      </c>
      <c r="AS32" s="264">
        <v>440.614735</v>
      </c>
      <c r="AT32" s="265">
        <v>444</v>
      </c>
      <c r="AU32" s="255">
        <f>AS32+AT32</f>
        <v>884.614735</v>
      </c>
      <c r="AV32" s="254">
        <v>9057.4881266366428</v>
      </c>
      <c r="AW32" s="264">
        <v>4631.6737579999999</v>
      </c>
      <c r="AX32" s="265">
        <v>3614.5021999999994</v>
      </c>
      <c r="AY32" s="255">
        <f>AW32+AX32</f>
        <v>8246.1759579999998</v>
      </c>
      <c r="AZ32" s="254">
        <v>5.9534477958236653</v>
      </c>
      <c r="BA32" s="264">
        <v>2.1480000000000001</v>
      </c>
      <c r="BB32" s="265">
        <v>2.2269999999999994</v>
      </c>
      <c r="BC32" s="256">
        <f>BA32+BB32</f>
        <v>4.375</v>
      </c>
    </row>
    <row r="33" spans="1:55" s="91" customFormat="1" ht="15" x14ac:dyDescent="0.2">
      <c r="A33" s="110"/>
      <c r="B33" s="116" t="s">
        <v>131</v>
      </c>
      <c r="C33" s="98" t="s">
        <v>100</v>
      </c>
      <c r="D33" s="167"/>
      <c r="E33" s="172"/>
      <c r="F33" s="173"/>
      <c r="G33" s="169"/>
      <c r="H33" s="167">
        <v>6159.4692431177136</v>
      </c>
      <c r="I33" s="172">
        <f t="shared" ref="I33:J33" si="97">I31-I32</f>
        <v>1029.3700000000003</v>
      </c>
      <c r="J33" s="173">
        <f t="shared" si="97"/>
        <v>395.28000000000065</v>
      </c>
      <c r="K33" s="169">
        <f>I33+J33</f>
        <v>1424.650000000001</v>
      </c>
      <c r="L33" s="167">
        <v>383.59271364546169</v>
      </c>
      <c r="M33" s="172">
        <f>M31-M32</f>
        <v>8.4000000000000909</v>
      </c>
      <c r="N33" s="173">
        <f>N31-N32</f>
        <v>8.3999999999999204</v>
      </c>
      <c r="O33" s="169">
        <f>M33+N33</f>
        <v>16.800000000000011</v>
      </c>
      <c r="P33" s="167">
        <v>121.54779807893283</v>
      </c>
      <c r="Q33" s="172">
        <f>Q31-Q32</f>
        <v>53.520000000000437</v>
      </c>
      <c r="R33" s="173">
        <f>R31-R32</f>
        <v>53.519999999999982</v>
      </c>
      <c r="S33" s="186">
        <f>Q33+R33</f>
        <v>107.04000000000042</v>
      </c>
      <c r="T33" s="167">
        <v>263.96350251584397</v>
      </c>
      <c r="U33" s="172">
        <f t="shared" ref="U33:V33" si="98">U31-U32</f>
        <v>97.829799999999977</v>
      </c>
      <c r="V33" s="173">
        <f t="shared" si="98"/>
        <v>97.755249999999933</v>
      </c>
      <c r="W33" s="169">
        <f>U33+V33</f>
        <v>195.58504999999991</v>
      </c>
      <c r="X33" s="167"/>
      <c r="Y33" s="172">
        <f>Y31-Y32</f>
        <v>0</v>
      </c>
      <c r="Z33" s="173">
        <f>Z31-Z32</f>
        <v>0</v>
      </c>
      <c r="AA33" s="169">
        <f>Y33+Z33</f>
        <v>0</v>
      </c>
      <c r="AB33" s="167"/>
      <c r="AC33" s="172">
        <f>AC31-AC32</f>
        <v>0</v>
      </c>
      <c r="AD33" s="173">
        <f>AD31-AD32</f>
        <v>0</v>
      </c>
      <c r="AE33" s="169">
        <f>AC33+AD33</f>
        <v>0</v>
      </c>
      <c r="AF33" s="167">
        <v>8.9879999999999427</v>
      </c>
      <c r="AG33" s="172">
        <f>AG31-AG32</f>
        <v>3.2519999999999953</v>
      </c>
      <c r="AH33" s="173">
        <f>AH31-AH32</f>
        <v>3.0000000000000142</v>
      </c>
      <c r="AI33" s="186">
        <f>AG33+AH33</f>
        <v>6.2520000000000095</v>
      </c>
      <c r="AJ33" s="167">
        <v>49.659552000000076</v>
      </c>
      <c r="AK33" s="172">
        <f>AK31-AK32</f>
        <v>12.952000000000226</v>
      </c>
      <c r="AL33" s="173">
        <f>AL31-AL32</f>
        <v>13.105999999999995</v>
      </c>
      <c r="AM33" s="169">
        <f>AK33+AL33</f>
        <v>26.05800000000022</v>
      </c>
      <c r="AN33" s="167">
        <v>1456.2712107136351</v>
      </c>
      <c r="AO33" s="172">
        <f>AO31-AO32</f>
        <v>2.4180000000005748</v>
      </c>
      <c r="AP33" s="173">
        <f>AP31-AP32</f>
        <v>2.4180000000003474</v>
      </c>
      <c r="AQ33" s="169">
        <f>AO33+AP33</f>
        <v>4.8360000000009222</v>
      </c>
      <c r="AR33" s="167">
        <v>17.919625466418097</v>
      </c>
      <c r="AS33" s="172">
        <f>AS31-AS32</f>
        <v>3.2300040000000081</v>
      </c>
      <c r="AT33" s="173">
        <f>AT31-AT32</f>
        <v>2.0400000000000205</v>
      </c>
      <c r="AU33" s="169">
        <f>AS33+AT33</f>
        <v>5.2700040000000286</v>
      </c>
      <c r="AV33" s="167">
        <v>216.69187336335744</v>
      </c>
      <c r="AW33" s="172">
        <f>AW31-AW32</f>
        <v>0.96600000000034925</v>
      </c>
      <c r="AX33" s="173">
        <f>AX31-AX32</f>
        <v>0.55700000000069849</v>
      </c>
      <c r="AY33" s="169">
        <f>AW33+AX33</f>
        <v>1.5230000000010477</v>
      </c>
      <c r="AZ33" s="167">
        <v>3.3165522041763325</v>
      </c>
      <c r="BA33" s="172">
        <f>BA31-BA32</f>
        <v>0</v>
      </c>
      <c r="BB33" s="173">
        <f>BB31-BB32</f>
        <v>0.11400000000000077</v>
      </c>
      <c r="BC33" s="186">
        <f>BA33+BB33</f>
        <v>0.11400000000000077</v>
      </c>
    </row>
    <row r="34" spans="1:55" s="106" customFormat="1" ht="14.25" x14ac:dyDescent="0.2">
      <c r="A34" s="117" t="s">
        <v>132</v>
      </c>
      <c r="B34" s="118" t="s">
        <v>0</v>
      </c>
      <c r="C34" s="105" t="s">
        <v>100</v>
      </c>
      <c r="D34" s="175">
        <f t="shared" ref="D34:AF34" si="99">D35+D36</f>
        <v>342.41899999999998</v>
      </c>
      <c r="E34" s="179">
        <f>SUM('[18]1П'!$H$81:$H$89)</f>
        <v>275.35500000000002</v>
      </c>
      <c r="F34" s="180">
        <f>SUM('[18]2П'!$H$81:$H$89)</f>
        <v>750.20400000000006</v>
      </c>
      <c r="G34" s="181">
        <f t="shared" ref="G34" si="100">G35+G36</f>
        <v>1025.5590000000002</v>
      </c>
      <c r="H34" s="175">
        <f t="shared" si="99"/>
        <v>33403.085631666669</v>
      </c>
      <c r="I34" s="176">
        <f>SUM('[21]1П'!$H$81:$H$89)</f>
        <v>15052.016</v>
      </c>
      <c r="J34" s="177">
        <f>SUM('[21]2П'!$H$81:$H$89)</f>
        <v>17233.782000000003</v>
      </c>
      <c r="K34" s="181">
        <f t="shared" ref="K34" si="101">K35+K36</f>
        <v>32285.798000000003</v>
      </c>
      <c r="L34" s="175">
        <f t="shared" si="99"/>
        <v>403.94099999999997</v>
      </c>
      <c r="M34" s="176">
        <f>SUM('[22]1П'!$H$81:$H$89)</f>
        <v>89.423999999999992</v>
      </c>
      <c r="N34" s="177">
        <f>SUM('[22]2П'!$H$81:$H$89)</f>
        <v>87.17</v>
      </c>
      <c r="O34" s="181">
        <f>SUM([22]ГОД!$H$81:$H$89)</f>
        <v>176.59399999999999</v>
      </c>
      <c r="P34" s="175">
        <f t="shared" si="99"/>
        <v>2913.259</v>
      </c>
      <c r="Q34" s="176">
        <f>SUM('[23]1П'!$H$81:$H$89)</f>
        <v>1020.5623000000001</v>
      </c>
      <c r="R34" s="177">
        <f>SUM('[23]2П'!$H$81:$H$89)</f>
        <v>1047.0549999999998</v>
      </c>
      <c r="S34" s="188">
        <f>SUM([23]ГОД!$H$81:$H$89)</f>
        <v>2067.6172999999999</v>
      </c>
      <c r="T34" s="175">
        <f t="shared" si="99"/>
        <v>465.45599999999996</v>
      </c>
      <c r="U34" s="176">
        <f>SUM('[24]1П'!$H$81:$H$89)</f>
        <v>317.36500000000001</v>
      </c>
      <c r="V34" s="177">
        <f>SUM('[24]2П'!$H$81:$H$89)</f>
        <v>320.036</v>
      </c>
      <c r="W34" s="181">
        <f t="shared" ref="W34" si="102">W35+W36</f>
        <v>637.40100000000007</v>
      </c>
      <c r="X34" s="170">
        <f t="shared" si="99"/>
        <v>366.07900000000006</v>
      </c>
      <c r="Y34" s="176">
        <f>SUM('[25]1П'!$H$81:$H$89)</f>
        <v>174.14400000000003</v>
      </c>
      <c r="Z34" s="177">
        <f>SUM('[25]2П'!$H$81:$H$89)</f>
        <v>185.67599999999999</v>
      </c>
      <c r="AA34" s="181">
        <f>SUM([25]ГОД!$H$81:$H$89)</f>
        <v>359.82000000000005</v>
      </c>
      <c r="AB34" s="175">
        <f t="shared" si="99"/>
        <v>678.24600000000009</v>
      </c>
      <c r="AC34" s="176">
        <f>SUM('[26]1П'!$H$81:$H$89)</f>
        <v>413.44</v>
      </c>
      <c r="AD34" s="177">
        <f>SUM('[26]2П'!$H$81:$H$89)</f>
        <v>439.84</v>
      </c>
      <c r="AE34" s="181">
        <f>SUM([26]ГОД!$H$81:$H$89)</f>
        <v>853.28</v>
      </c>
      <c r="AF34" s="175">
        <f t="shared" si="99"/>
        <v>97.444000000000003</v>
      </c>
      <c r="AG34" s="176">
        <f>SUM('[19]1П'!$H$81:$H$89)</f>
        <v>55.341999999999999</v>
      </c>
      <c r="AH34" s="177">
        <f>SUM('[19]2П'!$H$81:$H$89)</f>
        <v>74.277000000000001</v>
      </c>
      <c r="AI34" s="188">
        <f>SUM([19]ГОД!$H$81:$H$89)</f>
        <v>129.619</v>
      </c>
      <c r="AJ34" s="175">
        <f t="shared" ref="AJ34:AZ34" si="103">AJ35+AJ36</f>
        <v>2026.4706000000001</v>
      </c>
      <c r="AK34" s="176">
        <f>SUM('[27]1П'!$H$81:$H$89)</f>
        <v>716.58699999999999</v>
      </c>
      <c r="AL34" s="177">
        <f>SUM('[27]2П'!$H$81:$H$89)</f>
        <v>887.48299999999995</v>
      </c>
      <c r="AM34" s="181">
        <f>SUM([27]ГОД!$H$81:$H$89)</f>
        <v>1604.0700000000002</v>
      </c>
      <c r="AN34" s="175">
        <f t="shared" si="103"/>
        <v>383.053</v>
      </c>
      <c r="AO34" s="176">
        <f>SUM('[28]1П'!$H$81:$H$89)</f>
        <v>123.55200000000001</v>
      </c>
      <c r="AP34" s="177">
        <f>SUM('[28]2П'!$H$81:$H$89)</f>
        <v>117.66085999999999</v>
      </c>
      <c r="AQ34" s="181">
        <f>SUM([28]ГОД!$H$81:$H$89)</f>
        <v>241.21286000000003</v>
      </c>
      <c r="AR34" s="175">
        <f t="shared" si="103"/>
        <v>78.332999999999998</v>
      </c>
      <c r="AS34" s="176">
        <f>SUM('[29]1П'!$H$81:$H$89)</f>
        <v>61</v>
      </c>
      <c r="AT34" s="177">
        <f>SUM('[29]2П'!$H$81:$H$89)</f>
        <v>75.599000000000004</v>
      </c>
      <c r="AU34" s="181">
        <f>SUM([29]ГОД!$H$81:$H$89)</f>
        <v>136.59899999999999</v>
      </c>
      <c r="AV34" s="175">
        <f t="shared" si="103"/>
        <v>3225.33</v>
      </c>
      <c r="AW34" s="176">
        <f>SUM('[30]1П'!$H$81:$H$89)</f>
        <v>1312.8609999999999</v>
      </c>
      <c r="AX34" s="177">
        <f>SUM('[30]2П'!$H$81:$H$89)</f>
        <v>1976.877</v>
      </c>
      <c r="AY34" s="181">
        <f>SUM([30]ГОД!$H$81:$H$89)</f>
        <v>3289.7379999999998</v>
      </c>
      <c r="AZ34" s="175">
        <f t="shared" si="103"/>
        <v>74.108999999999995</v>
      </c>
      <c r="BA34" s="176">
        <f>SUM('[20]1П'!$H$81:$H$89)</f>
        <v>20.457999999999998</v>
      </c>
      <c r="BB34" s="177">
        <f>SUM('[20]2П'!$H$81:$H$89)</f>
        <v>24.992000000000001</v>
      </c>
      <c r="BC34" s="188">
        <f>SUM([20]ГОД!$H$81:$H$89)</f>
        <v>45.45</v>
      </c>
    </row>
    <row r="35" spans="1:55" s="247" customFormat="1" ht="15" x14ac:dyDescent="0.2">
      <c r="A35" s="378"/>
      <c r="B35" s="248" t="s">
        <v>125</v>
      </c>
      <c r="C35" s="249" t="s">
        <v>100</v>
      </c>
      <c r="D35" s="246">
        <v>342.41899999999998</v>
      </c>
      <c r="E35" s="266">
        <v>275.35500000000002</v>
      </c>
      <c r="F35" s="267">
        <v>750.20400000000006</v>
      </c>
      <c r="G35" s="257">
        <f>E35+F35</f>
        <v>1025.5590000000002</v>
      </c>
      <c r="H35" s="246">
        <v>32599.382478694639</v>
      </c>
      <c r="I35" s="266">
        <v>14931.846</v>
      </c>
      <c r="J35" s="267">
        <f>32027.628-I35</f>
        <v>17095.781999999999</v>
      </c>
      <c r="K35" s="257">
        <f>I35+J35</f>
        <v>32027.627999999997</v>
      </c>
      <c r="L35" s="246">
        <v>11.124227042781106</v>
      </c>
      <c r="M35" s="266">
        <v>29.423999999999999</v>
      </c>
      <c r="N35" s="267">
        <v>22.791</v>
      </c>
      <c r="O35" s="257">
        <f>M35+N35</f>
        <v>52.215000000000003</v>
      </c>
      <c r="P35" s="246">
        <v>1783.4714481090234</v>
      </c>
      <c r="Q35" s="266">
        <v>596.42229999999995</v>
      </c>
      <c r="R35" s="267">
        <v>637.91499999999996</v>
      </c>
      <c r="S35" s="258">
        <f>Q35+R35</f>
        <v>1234.3372999999999</v>
      </c>
      <c r="T35" s="246">
        <v>72.275095431672938</v>
      </c>
      <c r="U35" s="266">
        <v>148.76500000000001</v>
      </c>
      <c r="V35" s="267">
        <v>71.436000000000007</v>
      </c>
      <c r="W35" s="257">
        <f>U35+V35</f>
        <v>220.20100000000002</v>
      </c>
      <c r="X35" s="246">
        <v>26.08424214264457</v>
      </c>
      <c r="Y35" s="266">
        <v>15.904</v>
      </c>
      <c r="Z35" s="267">
        <v>29.315999999999999</v>
      </c>
      <c r="AA35" s="257">
        <f>Y35+Z35</f>
        <v>45.22</v>
      </c>
      <c r="AB35" s="246">
        <v>648.24600000000009</v>
      </c>
      <c r="AC35" s="246">
        <v>406.44</v>
      </c>
      <c r="AD35" s="246">
        <v>431.84</v>
      </c>
      <c r="AE35" s="257">
        <f>AC35+AD35</f>
        <v>838.28</v>
      </c>
      <c r="AF35" s="246">
        <v>94.455999999999989</v>
      </c>
      <c r="AG35" s="266">
        <v>53.841999999999999</v>
      </c>
      <c r="AH35" s="267">
        <v>72.777000000000001</v>
      </c>
      <c r="AI35" s="258">
        <f>AG35+AH35</f>
        <v>126.619</v>
      </c>
      <c r="AJ35" s="246">
        <v>1919.558</v>
      </c>
      <c r="AK35" s="266">
        <v>684.32799999999997</v>
      </c>
      <c r="AL35" s="267">
        <v>857.35900000000004</v>
      </c>
      <c r="AM35" s="257">
        <f>AK35+AL35</f>
        <v>1541.6869999999999</v>
      </c>
      <c r="AN35" s="246">
        <v>153.1930526866314</v>
      </c>
      <c r="AO35" s="266">
        <v>82.206000000000358</v>
      </c>
      <c r="AP35" s="267">
        <v>106.32900000000018</v>
      </c>
      <c r="AQ35" s="257">
        <f>AO35+AP35</f>
        <v>188.53500000000054</v>
      </c>
      <c r="AR35" s="246">
        <v>78.332999999999998</v>
      </c>
      <c r="AS35" s="266">
        <v>61</v>
      </c>
      <c r="AT35" s="267">
        <v>75.598999999999933</v>
      </c>
      <c r="AU35" s="257">
        <f>AS35+AT35</f>
        <v>136.59899999999993</v>
      </c>
      <c r="AV35" s="246">
        <v>2960.0924878740038</v>
      </c>
      <c r="AW35" s="266">
        <v>1292.9410000000007</v>
      </c>
      <c r="AX35" s="267">
        <v>1922.6580000000017</v>
      </c>
      <c r="AY35" s="257">
        <f>AW35+AX35</f>
        <v>3215.5990000000024</v>
      </c>
      <c r="AZ35" s="246">
        <v>60.944936251522641</v>
      </c>
      <c r="BA35" s="266">
        <v>16.408000000000001</v>
      </c>
      <c r="BB35" s="267">
        <v>24.991999999999994</v>
      </c>
      <c r="BC35" s="258">
        <f>BA35+BB35</f>
        <v>41.399999999999991</v>
      </c>
    </row>
    <row r="36" spans="1:55" s="91" customFormat="1" ht="15" x14ac:dyDescent="0.2">
      <c r="A36" s="119"/>
      <c r="B36" s="120" t="s">
        <v>133</v>
      </c>
      <c r="C36" s="121" t="s">
        <v>100</v>
      </c>
      <c r="D36" s="182"/>
      <c r="E36" s="268"/>
      <c r="F36" s="269"/>
      <c r="G36" s="183"/>
      <c r="H36" s="182">
        <v>803.70315297202978</v>
      </c>
      <c r="I36" s="268">
        <f>I34-I35</f>
        <v>120.17000000000007</v>
      </c>
      <c r="J36" s="269">
        <f t="shared" ref="J36" si="104">J34-J35</f>
        <v>138.00000000000364</v>
      </c>
      <c r="K36" s="183">
        <f>I36+J36</f>
        <v>258.17000000000371</v>
      </c>
      <c r="L36" s="182">
        <v>392.81677295721886</v>
      </c>
      <c r="M36" s="268">
        <f>M34-M35</f>
        <v>59.999999999999993</v>
      </c>
      <c r="N36" s="269">
        <f>N34-N35</f>
        <v>64.379000000000005</v>
      </c>
      <c r="O36" s="183">
        <f>M36+N36</f>
        <v>124.37899999999999</v>
      </c>
      <c r="P36" s="182">
        <v>1129.7875518909766</v>
      </c>
      <c r="Q36" s="268">
        <f>Q34-Q35</f>
        <v>424.1400000000001</v>
      </c>
      <c r="R36" s="269">
        <f>R34-R35</f>
        <v>409.13999999999987</v>
      </c>
      <c r="S36" s="189">
        <f>Q36+R36</f>
        <v>833.28</v>
      </c>
      <c r="T36" s="182">
        <v>393.18090456832704</v>
      </c>
      <c r="U36" s="268">
        <f t="shared" ref="U36:V36" si="105">U34-U35</f>
        <v>168.6</v>
      </c>
      <c r="V36" s="269">
        <f t="shared" si="105"/>
        <v>248.6</v>
      </c>
      <c r="W36" s="183">
        <f>U36+V36</f>
        <v>417.2</v>
      </c>
      <c r="X36" s="160">
        <v>339.99475785735547</v>
      </c>
      <c r="Y36" s="268">
        <f>Y34-Y35</f>
        <v>158.24000000000004</v>
      </c>
      <c r="Z36" s="269">
        <f>Z34-Z35</f>
        <v>156.35999999999999</v>
      </c>
      <c r="AA36" s="183">
        <f>Y36+Z36</f>
        <v>314.60000000000002</v>
      </c>
      <c r="AB36" s="182">
        <v>30</v>
      </c>
      <c r="AC36" s="268">
        <f>AC34-AC35</f>
        <v>7</v>
      </c>
      <c r="AD36" s="269">
        <f>AD34-AD35</f>
        <v>8</v>
      </c>
      <c r="AE36" s="183">
        <f>AC36+AD36</f>
        <v>15</v>
      </c>
      <c r="AF36" s="182">
        <v>2.9880000000000138</v>
      </c>
      <c r="AG36" s="268">
        <f>AG34-AG35</f>
        <v>1.5</v>
      </c>
      <c r="AH36" s="269">
        <f>AH34-AH35</f>
        <v>1.5</v>
      </c>
      <c r="AI36" s="189">
        <f>AG36+AH36</f>
        <v>3</v>
      </c>
      <c r="AJ36" s="182">
        <v>106.91260000000011</v>
      </c>
      <c r="AK36" s="268">
        <f>AK34-AK35</f>
        <v>32.259000000000015</v>
      </c>
      <c r="AL36" s="269">
        <f>AL34-AL35</f>
        <v>30.12399999999991</v>
      </c>
      <c r="AM36" s="183">
        <f>AK36+AL36</f>
        <v>62.382999999999925</v>
      </c>
      <c r="AN36" s="182">
        <v>229.85994731336859</v>
      </c>
      <c r="AO36" s="268">
        <f>AO34-AO35</f>
        <v>41.345999999999648</v>
      </c>
      <c r="AP36" s="269">
        <f>AP34-AP35</f>
        <v>11.331859999999807</v>
      </c>
      <c r="AQ36" s="183">
        <f>AO36+AP36</f>
        <v>52.677859999999455</v>
      </c>
      <c r="AR36" s="182"/>
      <c r="AS36" s="268">
        <f>AS34-AS35</f>
        <v>0</v>
      </c>
      <c r="AT36" s="269">
        <f>AT34-AT35</f>
        <v>0</v>
      </c>
      <c r="AU36" s="183">
        <f>AS36+AT36</f>
        <v>0</v>
      </c>
      <c r="AV36" s="182">
        <v>265.23751212599609</v>
      </c>
      <c r="AW36" s="268">
        <f>AW34-AW35</f>
        <v>19.919999999999163</v>
      </c>
      <c r="AX36" s="269">
        <f>AX34-AX35</f>
        <v>54.218999999998232</v>
      </c>
      <c r="AY36" s="183">
        <f>AW36+AX36</f>
        <v>74.138999999997395</v>
      </c>
      <c r="AZ36" s="182">
        <v>13.164063748477353</v>
      </c>
      <c r="BA36" s="268">
        <f>BA34-BA35</f>
        <v>4.0499999999999972</v>
      </c>
      <c r="BB36" s="269">
        <f>BB34-BB35</f>
        <v>0</v>
      </c>
      <c r="BC36" s="189">
        <f>BA36+BB36</f>
        <v>4.0499999999999972</v>
      </c>
    </row>
  </sheetData>
  <mergeCells count="44">
    <mergeCell ref="AZ3:BC3"/>
    <mergeCell ref="AZ4:BC4"/>
    <mergeCell ref="BA5:BC5"/>
    <mergeCell ref="D2:BC2"/>
    <mergeCell ref="AR3:AU3"/>
    <mergeCell ref="AR4:AU4"/>
    <mergeCell ref="AS5:AU5"/>
    <mergeCell ref="AV3:AY3"/>
    <mergeCell ref="AV4:AY4"/>
    <mergeCell ref="AW5:AY5"/>
    <mergeCell ref="AJ3:AM3"/>
    <mergeCell ref="AJ4:AM4"/>
    <mergeCell ref="AK5:AM5"/>
    <mergeCell ref="AN3:AQ3"/>
    <mergeCell ref="AN4:AQ4"/>
    <mergeCell ref="AO5:AQ5"/>
    <mergeCell ref="AB3:AE3"/>
    <mergeCell ref="AB4:AE4"/>
    <mergeCell ref="AC5:AE5"/>
    <mergeCell ref="AF3:AI3"/>
    <mergeCell ref="AF4:AI4"/>
    <mergeCell ref="AG5:AI5"/>
    <mergeCell ref="X4:AA4"/>
    <mergeCell ref="E5:G5"/>
    <mergeCell ref="I5:K5"/>
    <mergeCell ref="M5:O5"/>
    <mergeCell ref="Q5:S5"/>
    <mergeCell ref="U5:W5"/>
    <mergeCell ref="A1:AA1"/>
    <mergeCell ref="A2:A6"/>
    <mergeCell ref="B2:B6"/>
    <mergeCell ref="C2:C6"/>
    <mergeCell ref="D3:G3"/>
    <mergeCell ref="H3:K3"/>
    <mergeCell ref="L3:O3"/>
    <mergeCell ref="P3:S3"/>
    <mergeCell ref="T3:W3"/>
    <mergeCell ref="Y5:AA5"/>
    <mergeCell ref="X3:AA3"/>
    <mergeCell ref="D4:G4"/>
    <mergeCell ref="H4:K4"/>
    <mergeCell ref="L4:O4"/>
    <mergeCell ref="P4:S4"/>
    <mergeCell ref="T4:W4"/>
  </mergeCells>
  <printOptions horizontalCentered="1"/>
  <pageMargins left="0.39370078740157483" right="0.39370078740157483" top="1.1811023622047245" bottom="0.39370078740157483" header="0.31496062992125984" footer="0.31496062992125984"/>
  <pageSetup paperSize="9" scale="45" fitToWidth="3" orientation="landscape" blackAndWhite="1" r:id="rId1"/>
  <colBreaks count="2" manualBreakCount="2">
    <brk id="19" max="1048575" man="1"/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97"/>
  <sheetViews>
    <sheetView topLeftCell="B1" zoomScale="80" zoomScaleNormal="80" workbookViewId="0">
      <pane xSplit="2" ySplit="4" topLeftCell="D43" activePane="bottomRight" state="frozen"/>
      <selection activeCell="B51" sqref="B51"/>
      <selection pane="topRight" activeCell="B51" sqref="B51"/>
      <selection pane="bottomLeft" activeCell="B51" sqref="B51"/>
      <selection pane="bottomRight" activeCell="B51" sqref="B51"/>
    </sheetView>
  </sheetViews>
  <sheetFormatPr defaultColWidth="9.140625" defaultRowHeight="15.75" x14ac:dyDescent="0.25"/>
  <cols>
    <col min="1" max="1" width="3.7109375" style="8" hidden="1" customWidth="1"/>
    <col min="2" max="2" width="7.42578125" style="8" customWidth="1"/>
    <col min="3" max="3" width="54.140625" style="8" customWidth="1"/>
    <col min="4" max="4" width="17.140625" style="8" customWidth="1"/>
    <col min="5" max="5" width="19.140625" style="8" customWidth="1"/>
    <col min="6" max="6" width="52.5703125" style="8" customWidth="1"/>
    <col min="7" max="7" width="15.140625" style="8" customWidth="1"/>
    <col min="8" max="8" width="16.7109375" style="8" customWidth="1"/>
    <col min="9" max="9" width="24" style="8" customWidth="1"/>
    <col min="10" max="10" width="38.5703125" style="8" customWidth="1"/>
    <col min="11" max="16384" width="9.140625" style="8"/>
  </cols>
  <sheetData>
    <row r="1" spans="2:10" ht="39.75" customHeight="1" x14ac:dyDescent="0.25">
      <c r="B1" s="343" t="s">
        <v>84</v>
      </c>
      <c r="C1" s="343"/>
      <c r="D1" s="343"/>
      <c r="E1" s="343"/>
      <c r="F1" s="343"/>
      <c r="G1" s="343"/>
      <c r="H1" s="343"/>
      <c r="I1" s="343"/>
      <c r="J1" s="343"/>
    </row>
    <row r="2" spans="2:10" ht="19.5" customHeight="1" x14ac:dyDescent="0.25">
      <c r="B2" s="348" t="s">
        <v>85</v>
      </c>
      <c r="C2" s="348"/>
      <c r="D2" s="348"/>
      <c r="E2" s="348"/>
      <c r="F2" s="348"/>
      <c r="G2" s="348"/>
      <c r="H2" s="348"/>
    </row>
    <row r="3" spans="2:10" ht="19.5" customHeight="1" x14ac:dyDescent="0.25">
      <c r="B3" s="349" t="s">
        <v>25</v>
      </c>
      <c r="C3" s="345" t="s">
        <v>87</v>
      </c>
      <c r="D3" s="345"/>
      <c r="E3" s="345"/>
      <c r="F3" s="345" t="s">
        <v>88</v>
      </c>
      <c r="G3" s="345"/>
      <c r="H3" s="345"/>
      <c r="I3" s="339" t="s">
        <v>219</v>
      </c>
      <c r="J3" s="339" t="s">
        <v>224</v>
      </c>
    </row>
    <row r="4" spans="2:10" ht="102.75" customHeight="1" x14ac:dyDescent="0.25">
      <c r="B4" s="350"/>
      <c r="C4" s="222" t="s">
        <v>26</v>
      </c>
      <c r="D4" s="9" t="s">
        <v>1</v>
      </c>
      <c r="E4" s="205" t="s">
        <v>27</v>
      </c>
      <c r="F4" s="222" t="s">
        <v>26</v>
      </c>
      <c r="G4" s="71" t="s">
        <v>1</v>
      </c>
      <c r="H4" s="205" t="s">
        <v>86</v>
      </c>
      <c r="I4" s="339"/>
      <c r="J4" s="339"/>
    </row>
    <row r="5" spans="2:10" x14ac:dyDescent="0.25">
      <c r="B5" s="9">
        <v>1</v>
      </c>
      <c r="C5" s="215">
        <f>B5+1</f>
        <v>2</v>
      </c>
      <c r="D5" s="71">
        <v>3</v>
      </c>
      <c r="E5" s="205">
        <v>4</v>
      </c>
      <c r="F5" s="205">
        <v>5</v>
      </c>
      <c r="G5" s="71">
        <v>6</v>
      </c>
      <c r="H5" s="205">
        <v>7</v>
      </c>
      <c r="I5" s="148">
        <v>8</v>
      </c>
      <c r="J5" s="148">
        <v>9</v>
      </c>
    </row>
    <row r="6" spans="2:10" x14ac:dyDescent="0.25">
      <c r="B6" s="135" t="s">
        <v>5</v>
      </c>
      <c r="C6" s="209" t="s">
        <v>12</v>
      </c>
      <c r="D6" s="129"/>
      <c r="E6" s="208"/>
      <c r="F6" s="209" t="s">
        <v>12</v>
      </c>
      <c r="G6" s="29"/>
      <c r="H6" s="208"/>
      <c r="I6" s="29"/>
      <c r="J6" s="29"/>
    </row>
    <row r="7" spans="2:10" ht="52.5" customHeight="1" x14ac:dyDescent="0.25">
      <c r="B7" s="136" t="s">
        <v>154</v>
      </c>
      <c r="C7" s="230" t="s">
        <v>155</v>
      </c>
      <c r="D7" s="136" t="s">
        <v>149</v>
      </c>
      <c r="E7" s="226">
        <v>3944.3457000000012</v>
      </c>
      <c r="F7" s="211"/>
      <c r="G7" s="138"/>
      <c r="H7" s="214"/>
      <c r="I7" s="138">
        <f>H7-E7</f>
        <v>-3944.3457000000012</v>
      </c>
      <c r="J7" s="276" t="s">
        <v>226</v>
      </c>
    </row>
    <row r="8" spans="2:10" ht="15.75" hidden="1" customHeight="1" x14ac:dyDescent="0.25">
      <c r="B8" s="28"/>
      <c r="C8" s="230"/>
      <c r="D8" s="28"/>
      <c r="E8" s="216"/>
      <c r="F8" s="213"/>
      <c r="G8" s="28"/>
      <c r="H8" s="214"/>
      <c r="I8" s="28"/>
      <c r="J8" s="28"/>
    </row>
    <row r="9" spans="2:10" ht="15.75" hidden="1" customHeight="1" x14ac:dyDescent="0.25">
      <c r="B9" s="128"/>
      <c r="C9" s="232"/>
      <c r="D9" s="123"/>
      <c r="E9" s="206"/>
      <c r="F9" s="207"/>
      <c r="G9" s="123"/>
      <c r="H9" s="206"/>
      <c r="I9" s="131"/>
      <c r="J9" s="131"/>
    </row>
    <row r="10" spans="2:10" ht="33.75" hidden="1" customHeight="1" x14ac:dyDescent="0.25">
      <c r="B10" s="136" t="s">
        <v>159</v>
      </c>
      <c r="C10" s="230" t="s">
        <v>156</v>
      </c>
      <c r="D10" s="347" t="s">
        <v>150</v>
      </c>
      <c r="E10" s="221">
        <v>462.8125</v>
      </c>
      <c r="F10" s="224"/>
      <c r="G10" s="139"/>
      <c r="H10" s="221"/>
      <c r="I10" s="139"/>
      <c r="J10" s="139"/>
    </row>
    <row r="11" spans="2:10" ht="31.5" hidden="1" customHeight="1" x14ac:dyDescent="0.25">
      <c r="B11" s="136" t="s">
        <v>160</v>
      </c>
      <c r="C11" s="230" t="s">
        <v>157</v>
      </c>
      <c r="D11" s="341"/>
      <c r="E11" s="214">
        <v>238.48416666666668</v>
      </c>
      <c r="F11" s="210"/>
      <c r="G11" s="138"/>
      <c r="H11" s="214"/>
      <c r="I11" s="138"/>
      <c r="J11" s="138"/>
    </row>
    <row r="12" spans="2:10" ht="15.75" hidden="1" customHeight="1" x14ac:dyDescent="0.25">
      <c r="B12" s="136" t="s">
        <v>161</v>
      </c>
      <c r="C12" s="228" t="s">
        <v>158</v>
      </c>
      <c r="D12" s="342"/>
      <c r="E12" s="214">
        <v>3320.7526436233347</v>
      </c>
      <c r="F12" s="210"/>
      <c r="G12" s="138"/>
      <c r="H12" s="214"/>
      <c r="I12" s="138"/>
      <c r="J12" s="138"/>
    </row>
    <row r="13" spans="2:10" ht="15.75" hidden="1" customHeight="1" x14ac:dyDescent="0.25">
      <c r="B13" s="136" t="s">
        <v>162</v>
      </c>
      <c r="C13" s="228" t="s">
        <v>158</v>
      </c>
      <c r="D13" s="136" t="s">
        <v>151</v>
      </c>
      <c r="E13" s="214">
        <v>4129.1564834230239</v>
      </c>
      <c r="F13" s="210"/>
      <c r="G13" s="138"/>
      <c r="H13" s="214"/>
      <c r="I13" s="138"/>
      <c r="J13" s="138"/>
    </row>
    <row r="14" spans="2:10" ht="15.75" hidden="1" customHeight="1" x14ac:dyDescent="0.25">
      <c r="B14" s="136" t="s">
        <v>163</v>
      </c>
      <c r="C14" s="228" t="s">
        <v>158</v>
      </c>
      <c r="D14" s="136" t="s">
        <v>152</v>
      </c>
      <c r="E14" s="214">
        <v>4251.3795153323454</v>
      </c>
      <c r="F14" s="133"/>
      <c r="G14" s="138"/>
      <c r="H14" s="214"/>
      <c r="I14" s="138"/>
      <c r="J14" s="138"/>
    </row>
    <row r="15" spans="2:10" ht="15.75" hidden="1" customHeight="1" x14ac:dyDescent="0.25">
      <c r="B15" s="137" t="s">
        <v>164</v>
      </c>
      <c r="C15" s="231" t="s">
        <v>158</v>
      </c>
      <c r="D15" s="137" t="s">
        <v>153</v>
      </c>
      <c r="E15" s="206">
        <v>4377.2203489861831</v>
      </c>
      <c r="F15" s="207"/>
      <c r="G15" s="27"/>
      <c r="H15" s="206"/>
      <c r="I15" s="27"/>
      <c r="J15" s="27"/>
    </row>
    <row r="16" spans="2:10" x14ac:dyDescent="0.25">
      <c r="B16" s="135" t="s">
        <v>6</v>
      </c>
      <c r="C16" s="209" t="s">
        <v>11</v>
      </c>
      <c r="D16" s="29"/>
      <c r="E16" s="208"/>
      <c r="F16" s="209" t="s">
        <v>11</v>
      </c>
      <c r="G16" s="139"/>
      <c r="H16" s="221"/>
      <c r="I16" s="139"/>
      <c r="J16" s="139"/>
    </row>
    <row r="17" spans="2:10" ht="18" customHeight="1" x14ac:dyDescent="0.25">
      <c r="B17" s="140" t="s">
        <v>165</v>
      </c>
      <c r="C17" s="230" t="s">
        <v>166</v>
      </c>
      <c r="D17" s="340" t="s">
        <v>149</v>
      </c>
      <c r="E17" s="214">
        <v>4978.625</v>
      </c>
      <c r="F17" s="211"/>
      <c r="G17" s="138"/>
      <c r="H17" s="214"/>
      <c r="I17" s="138">
        <f>H17-E17</f>
        <v>-4978.625</v>
      </c>
      <c r="J17" s="351" t="s">
        <v>226</v>
      </c>
    </row>
    <row r="18" spans="2:10" ht="15.75" customHeight="1" x14ac:dyDescent="0.25">
      <c r="B18" s="140" t="s">
        <v>167</v>
      </c>
      <c r="C18" s="230" t="s">
        <v>168</v>
      </c>
      <c r="D18" s="341"/>
      <c r="E18" s="214">
        <v>648.05520000000024</v>
      </c>
      <c r="F18" s="211"/>
      <c r="G18" s="138"/>
      <c r="H18" s="214"/>
      <c r="I18" s="138">
        <f>H18-E18</f>
        <v>-648.05520000000024</v>
      </c>
      <c r="J18" s="352"/>
    </row>
    <row r="19" spans="2:10" x14ac:dyDescent="0.25">
      <c r="B19" s="140" t="s">
        <v>169</v>
      </c>
      <c r="C19" s="230" t="s">
        <v>170</v>
      </c>
      <c r="D19" s="341"/>
      <c r="E19" s="216">
        <v>1122.5808000000002</v>
      </c>
      <c r="F19" s="211"/>
      <c r="G19" s="28"/>
      <c r="H19" s="214"/>
      <c r="I19" s="138">
        <f>H19-E19</f>
        <v>-1122.5808000000002</v>
      </c>
      <c r="J19" s="352"/>
    </row>
    <row r="20" spans="2:10" ht="15.75" customHeight="1" x14ac:dyDescent="0.25">
      <c r="B20" s="140" t="s">
        <v>171</v>
      </c>
      <c r="C20" s="230" t="s">
        <v>172</v>
      </c>
      <c r="D20" s="341"/>
      <c r="E20" s="214">
        <v>289.38112881355943</v>
      </c>
      <c r="F20" s="211"/>
      <c r="G20" s="28"/>
      <c r="H20" s="214"/>
      <c r="I20" s="138">
        <f>H20-E20</f>
        <v>-289.38112881355943</v>
      </c>
      <c r="J20" s="353"/>
    </row>
    <row r="21" spans="2:10" ht="15.75" hidden="1" customHeight="1" x14ac:dyDescent="0.25">
      <c r="B21" s="140"/>
      <c r="C21" s="230"/>
      <c r="D21" s="28"/>
      <c r="E21" s="214"/>
      <c r="F21" s="211"/>
      <c r="G21" s="28"/>
      <c r="H21" s="214"/>
      <c r="I21" s="28"/>
      <c r="J21" s="28"/>
    </row>
    <row r="22" spans="2:10" ht="15.75" hidden="1" customHeight="1" x14ac:dyDescent="0.25">
      <c r="B22" s="143"/>
      <c r="C22" s="232"/>
      <c r="D22" s="127"/>
      <c r="E22" s="217"/>
      <c r="F22" s="207"/>
      <c r="G22" s="27"/>
      <c r="H22" s="206"/>
      <c r="I22" s="27"/>
      <c r="J22" s="27"/>
    </row>
    <row r="23" spans="2:10" ht="18" hidden="1" customHeight="1" x14ac:dyDescent="0.25">
      <c r="B23" s="142" t="s">
        <v>173</v>
      </c>
      <c r="C23" s="234" t="s">
        <v>158</v>
      </c>
      <c r="D23" s="136" t="s">
        <v>150</v>
      </c>
      <c r="E23" s="214">
        <v>7177.3033787511868</v>
      </c>
      <c r="F23" s="208"/>
      <c r="G23" s="73"/>
      <c r="H23" s="208"/>
      <c r="I23" s="129"/>
      <c r="J23" s="129"/>
    </row>
    <row r="24" spans="2:10" ht="18" hidden="1" customHeight="1" x14ac:dyDescent="0.25">
      <c r="B24" s="136" t="s">
        <v>174</v>
      </c>
      <c r="C24" s="228" t="s">
        <v>158</v>
      </c>
      <c r="D24" s="136" t="s">
        <v>151</v>
      </c>
      <c r="E24" s="214">
        <v>7368.4349677273303</v>
      </c>
      <c r="F24" s="211"/>
      <c r="G24" s="28"/>
      <c r="H24" s="214"/>
      <c r="I24" s="28"/>
      <c r="J24" s="28"/>
    </row>
    <row r="25" spans="2:10" ht="18" hidden="1" customHeight="1" x14ac:dyDescent="0.25">
      <c r="B25" s="136" t="s">
        <v>175</v>
      </c>
      <c r="C25" s="228" t="s">
        <v>158</v>
      </c>
      <c r="D25" s="136" t="s">
        <v>152</v>
      </c>
      <c r="E25" s="214">
        <v>7586.54064277206</v>
      </c>
      <c r="F25" s="211"/>
      <c r="G25" s="130"/>
      <c r="H25" s="214"/>
      <c r="I25" s="130"/>
      <c r="J25" s="130"/>
    </row>
    <row r="26" spans="2:10" ht="15.75" hidden="1" customHeight="1" x14ac:dyDescent="0.25">
      <c r="B26" s="137" t="s">
        <v>176</v>
      </c>
      <c r="C26" s="231" t="s">
        <v>158</v>
      </c>
      <c r="D26" s="137" t="s">
        <v>153</v>
      </c>
      <c r="E26" s="214">
        <v>7811.1022457981135</v>
      </c>
      <c r="F26" s="220"/>
      <c r="G26" s="28"/>
      <c r="H26" s="206"/>
      <c r="I26" s="28"/>
      <c r="J26" s="28"/>
    </row>
    <row r="27" spans="2:10" ht="15.75" customHeight="1" x14ac:dyDescent="0.25">
      <c r="B27" s="135" t="s">
        <v>7</v>
      </c>
      <c r="C27" s="212" t="s">
        <v>14</v>
      </c>
      <c r="D27" s="29"/>
      <c r="E27" s="221"/>
      <c r="F27" s="212" t="s">
        <v>14</v>
      </c>
      <c r="G27" s="29"/>
      <c r="H27" s="221"/>
      <c r="I27" s="29"/>
      <c r="J27" s="29"/>
    </row>
    <row r="28" spans="2:10" ht="27.75" customHeight="1" x14ac:dyDescent="0.25">
      <c r="B28" s="136" t="s">
        <v>177</v>
      </c>
      <c r="C28" s="228" t="s">
        <v>178</v>
      </c>
      <c r="D28" s="346" t="s">
        <v>149</v>
      </c>
      <c r="E28" s="226">
        <v>761.7</v>
      </c>
      <c r="F28" s="202"/>
      <c r="G28" s="28"/>
      <c r="H28" s="214"/>
      <c r="I28" s="138">
        <f>H28-E28</f>
        <v>-761.7</v>
      </c>
      <c r="J28" s="354" t="s">
        <v>226</v>
      </c>
    </row>
    <row r="29" spans="2:10" ht="27.75" customHeight="1" x14ac:dyDescent="0.25">
      <c r="B29" s="140" t="s">
        <v>179</v>
      </c>
      <c r="C29" s="228" t="s">
        <v>180</v>
      </c>
      <c r="D29" s="346"/>
      <c r="E29" s="226">
        <v>2638.67</v>
      </c>
      <c r="F29" s="202"/>
      <c r="G29" s="28"/>
      <c r="H29" s="206"/>
      <c r="I29" s="138">
        <f>H29-E29</f>
        <v>-2638.67</v>
      </c>
      <c r="J29" s="355"/>
    </row>
    <row r="30" spans="2:10" ht="15.75" hidden="1" customHeight="1" x14ac:dyDescent="0.25">
      <c r="B30" s="136" t="s">
        <v>181</v>
      </c>
      <c r="C30" s="230" t="s">
        <v>182</v>
      </c>
      <c r="D30" s="347" t="s">
        <v>150</v>
      </c>
      <c r="E30" s="214">
        <v>776.65250000000003</v>
      </c>
      <c r="F30" s="208"/>
      <c r="G30" s="29"/>
      <c r="H30" s="221"/>
      <c r="I30" s="29"/>
      <c r="J30" s="29"/>
    </row>
    <row r="31" spans="2:10" ht="15.75" hidden="1" customHeight="1" x14ac:dyDescent="0.25">
      <c r="B31" s="136" t="s">
        <v>183</v>
      </c>
      <c r="C31" s="228" t="s">
        <v>158</v>
      </c>
      <c r="D31" s="342"/>
      <c r="E31" s="214">
        <v>2690.7048131962724</v>
      </c>
      <c r="F31" s="225"/>
      <c r="G31" s="30"/>
      <c r="H31" s="214"/>
      <c r="I31" s="30"/>
      <c r="J31" s="30"/>
    </row>
    <row r="32" spans="2:10" ht="15.75" hidden="1" customHeight="1" x14ac:dyDescent="0.25">
      <c r="B32" s="136" t="s">
        <v>184</v>
      </c>
      <c r="C32" s="228" t="s">
        <v>158</v>
      </c>
      <c r="D32" s="136" t="s">
        <v>151</v>
      </c>
      <c r="E32" s="214">
        <v>3559.6930384466891</v>
      </c>
      <c r="F32" s="225"/>
      <c r="G32" s="30"/>
      <c r="H32" s="214"/>
      <c r="I32" s="30"/>
      <c r="J32" s="30"/>
    </row>
    <row r="33" spans="2:10" ht="15.75" hidden="1" customHeight="1" x14ac:dyDescent="0.25">
      <c r="B33" s="136" t="s">
        <v>185</v>
      </c>
      <c r="C33" s="228" t="s">
        <v>158</v>
      </c>
      <c r="D33" s="136" t="s">
        <v>152</v>
      </c>
      <c r="E33" s="214">
        <v>3665.0599523847113</v>
      </c>
      <c r="F33" s="225"/>
      <c r="G33" s="28"/>
      <c r="H33" s="214"/>
      <c r="I33" s="28"/>
      <c r="J33" s="28"/>
    </row>
    <row r="34" spans="2:10" ht="15.75" hidden="1" customHeight="1" x14ac:dyDescent="0.25">
      <c r="B34" s="137" t="s">
        <v>186</v>
      </c>
      <c r="C34" s="231" t="s">
        <v>158</v>
      </c>
      <c r="D34" s="137" t="s">
        <v>153</v>
      </c>
      <c r="E34" s="214">
        <v>3773.5457269752992</v>
      </c>
      <c r="F34" s="207"/>
      <c r="G34" s="74"/>
      <c r="H34" s="206"/>
      <c r="I34" s="131"/>
      <c r="J34" s="131"/>
    </row>
    <row r="35" spans="2:10" ht="15.75" customHeight="1" x14ac:dyDescent="0.25">
      <c r="B35" s="135" t="s">
        <v>8</v>
      </c>
      <c r="C35" s="209" t="s">
        <v>15</v>
      </c>
      <c r="D35" s="29"/>
      <c r="E35" s="221"/>
      <c r="F35" s="209" t="s">
        <v>15</v>
      </c>
      <c r="G35" s="29"/>
      <c r="H35" s="221"/>
      <c r="I35" s="29"/>
      <c r="J35" s="29"/>
    </row>
    <row r="36" spans="2:10" ht="47.25" x14ac:dyDescent="0.25">
      <c r="B36" s="136" t="s">
        <v>187</v>
      </c>
      <c r="C36" s="228" t="s">
        <v>188</v>
      </c>
      <c r="D36" s="28" t="s">
        <v>149</v>
      </c>
      <c r="E36" s="206">
        <v>2792.7918000000009</v>
      </c>
      <c r="F36" s="207"/>
      <c r="G36" s="27"/>
      <c r="H36" s="206"/>
      <c r="I36" s="279">
        <f>H36-E36</f>
        <v>-2792.7918000000009</v>
      </c>
      <c r="J36" s="280" t="s">
        <v>226</v>
      </c>
    </row>
    <row r="37" spans="2:10" ht="15.75" hidden="1" customHeight="1" x14ac:dyDescent="0.25">
      <c r="B37" s="136"/>
      <c r="C37" s="228"/>
      <c r="D37" s="28"/>
      <c r="E37" s="223"/>
      <c r="F37" s="238"/>
      <c r="G37" s="235"/>
      <c r="H37" s="223"/>
      <c r="I37" s="235"/>
      <c r="J37" s="235"/>
    </row>
    <row r="38" spans="2:10" ht="15.75" hidden="1" customHeight="1" x14ac:dyDescent="0.25">
      <c r="B38" s="127"/>
      <c r="C38" s="231"/>
      <c r="D38" s="27"/>
      <c r="E38" s="206"/>
      <c r="F38" s="207"/>
      <c r="G38" s="27"/>
      <c r="H38" s="206"/>
      <c r="I38" s="27"/>
      <c r="J38" s="27"/>
    </row>
    <row r="39" spans="2:10" ht="15.75" hidden="1" customHeight="1" x14ac:dyDescent="0.25">
      <c r="B39" s="136" t="s">
        <v>189</v>
      </c>
      <c r="C39" s="228" t="s">
        <v>190</v>
      </c>
      <c r="D39" s="136" t="s">
        <v>150</v>
      </c>
      <c r="E39" s="226">
        <f>[31]Мейнып!$Q$51</f>
        <v>2847.8097984600008</v>
      </c>
      <c r="F39" s="208"/>
      <c r="G39" s="29"/>
      <c r="H39" s="221"/>
      <c r="I39" s="29"/>
      <c r="J39" s="29"/>
    </row>
    <row r="40" spans="2:10" ht="15.75" hidden="1" customHeight="1" x14ac:dyDescent="0.25">
      <c r="B40" s="136" t="s">
        <v>191</v>
      </c>
      <c r="C40" s="228" t="s">
        <v>158</v>
      </c>
      <c r="D40" s="136" t="s">
        <v>151</v>
      </c>
      <c r="E40" s="226">
        <f>[31]Мейнып!$S$51</f>
        <v>2923.6469733929903</v>
      </c>
      <c r="F40" s="225"/>
      <c r="G40" s="28"/>
      <c r="H40" s="214"/>
      <c r="I40" s="28"/>
      <c r="J40" s="28"/>
    </row>
    <row r="41" spans="2:10" ht="15.75" hidden="1" customHeight="1" x14ac:dyDescent="0.25">
      <c r="B41" s="136" t="s">
        <v>192</v>
      </c>
      <c r="C41" s="228" t="s">
        <v>158</v>
      </c>
      <c r="D41" s="136" t="s">
        <v>152</v>
      </c>
      <c r="E41" s="226">
        <f>[31]Мейнып!$U$51</f>
        <v>3010.1869238054228</v>
      </c>
      <c r="F41" s="225"/>
      <c r="G41" s="28"/>
      <c r="H41" s="214"/>
      <c r="I41" s="28"/>
      <c r="J41" s="28"/>
    </row>
    <row r="42" spans="2:10" ht="15.75" hidden="1" customHeight="1" x14ac:dyDescent="0.25">
      <c r="B42" s="137" t="s">
        <v>193</v>
      </c>
      <c r="C42" s="231" t="s">
        <v>158</v>
      </c>
      <c r="D42" s="137" t="s">
        <v>153</v>
      </c>
      <c r="E42" s="229">
        <f>[31]Мейнып!$W$51</f>
        <v>3099.2884567500637</v>
      </c>
      <c r="F42" s="207"/>
      <c r="G42" s="27"/>
      <c r="H42" s="206"/>
      <c r="I42" s="27"/>
      <c r="J42" s="27"/>
    </row>
    <row r="43" spans="2:10" ht="15.75" customHeight="1" x14ac:dyDescent="0.25">
      <c r="B43" s="135" t="s">
        <v>9</v>
      </c>
      <c r="C43" s="212" t="s">
        <v>17</v>
      </c>
      <c r="D43" s="146"/>
      <c r="E43" s="226"/>
      <c r="F43" s="212" t="s">
        <v>17</v>
      </c>
      <c r="G43" s="73"/>
      <c r="H43" s="221"/>
      <c r="I43" s="129"/>
      <c r="J43" s="129"/>
    </row>
    <row r="44" spans="2:10" ht="52.5" customHeight="1" x14ac:dyDescent="0.25">
      <c r="B44" s="136" t="s">
        <v>194</v>
      </c>
      <c r="C44" s="228" t="s">
        <v>195</v>
      </c>
      <c r="D44" s="136" t="s">
        <v>149</v>
      </c>
      <c r="E44" s="226">
        <v>3309.6234330508487</v>
      </c>
      <c r="G44" s="28"/>
      <c r="H44" s="214"/>
      <c r="I44" s="138">
        <f>H44-E44</f>
        <v>-3309.6234330508487</v>
      </c>
      <c r="J44" s="276" t="s">
        <v>226</v>
      </c>
    </row>
    <row r="45" spans="2:10" ht="61.5" customHeight="1" x14ac:dyDescent="0.25">
      <c r="B45" s="144"/>
      <c r="C45" s="228"/>
      <c r="D45" s="28"/>
      <c r="E45" s="226"/>
      <c r="F45" s="277" t="s">
        <v>227</v>
      </c>
      <c r="G45" s="28">
        <v>2019</v>
      </c>
      <c r="H45" s="214">
        <v>201.90899999999999</v>
      </c>
      <c r="I45" s="138">
        <f>H45-E45</f>
        <v>201.90899999999999</v>
      </c>
      <c r="J45" s="28"/>
    </row>
    <row r="46" spans="2:10" ht="20.25" hidden="1" customHeight="1" x14ac:dyDescent="0.25">
      <c r="B46" s="145"/>
      <c r="C46" s="231"/>
      <c r="D46" s="27"/>
      <c r="E46" s="229"/>
      <c r="F46" s="278"/>
      <c r="G46" s="27"/>
      <c r="H46" s="206"/>
      <c r="I46" s="27"/>
      <c r="J46" s="27"/>
    </row>
    <row r="47" spans="2:10" ht="15.75" hidden="1" customHeight="1" x14ac:dyDescent="0.25">
      <c r="B47" s="136" t="s">
        <v>196</v>
      </c>
      <c r="C47" s="230" t="s">
        <v>197</v>
      </c>
      <c r="D47" s="136" t="s">
        <v>150</v>
      </c>
      <c r="E47" s="239">
        <v>1430.55</v>
      </c>
      <c r="F47" s="208"/>
      <c r="G47" s="29"/>
      <c r="H47" s="221"/>
      <c r="I47" s="29"/>
      <c r="J47" s="29"/>
    </row>
    <row r="48" spans="2:10" ht="15.75" hidden="1" customHeight="1" x14ac:dyDescent="0.25">
      <c r="B48" s="136" t="s">
        <v>198</v>
      </c>
      <c r="C48" s="228" t="s">
        <v>158</v>
      </c>
      <c r="D48" s="136" t="s">
        <v>150</v>
      </c>
      <c r="E48" s="226">
        <v>1944.2730146819506</v>
      </c>
      <c r="F48" s="218"/>
      <c r="G48" s="28"/>
      <c r="H48" s="214"/>
      <c r="I48" s="28"/>
      <c r="J48" s="28"/>
    </row>
    <row r="49" spans="2:10" ht="15.75" hidden="1" customHeight="1" x14ac:dyDescent="0.25">
      <c r="B49" s="136" t="s">
        <v>199</v>
      </c>
      <c r="C49" s="228" t="s">
        <v>158</v>
      </c>
      <c r="D49" s="136" t="s">
        <v>151</v>
      </c>
      <c r="E49" s="226">
        <v>3464.6945515629309</v>
      </c>
      <c r="F49" s="218"/>
      <c r="G49" s="28"/>
      <c r="H49" s="214"/>
      <c r="I49" s="28"/>
      <c r="J49" s="28"/>
    </row>
    <row r="50" spans="2:10" ht="15.75" hidden="1" customHeight="1" x14ac:dyDescent="0.25">
      <c r="B50" s="136" t="s">
        <v>200</v>
      </c>
      <c r="C50" s="228" t="s">
        <v>158</v>
      </c>
      <c r="D50" s="136" t="s">
        <v>152</v>
      </c>
      <c r="E50" s="226">
        <v>3567.2495102891939</v>
      </c>
      <c r="F50" s="218"/>
      <c r="G50" s="28"/>
      <c r="H50" s="214"/>
      <c r="I50" s="28"/>
      <c r="J50" s="28"/>
    </row>
    <row r="51" spans="2:10" ht="3.75" hidden="1" customHeight="1" x14ac:dyDescent="0.25">
      <c r="B51" s="137" t="s">
        <v>201</v>
      </c>
      <c r="C51" s="231" t="s">
        <v>158</v>
      </c>
      <c r="D51" s="137" t="s">
        <v>153</v>
      </c>
      <c r="E51" s="229">
        <v>3672.8400957937542</v>
      </c>
      <c r="F51" s="207"/>
      <c r="G51" s="27"/>
      <c r="H51" s="206"/>
      <c r="I51" s="27"/>
      <c r="J51" s="27"/>
    </row>
    <row r="52" spans="2:10" x14ac:dyDescent="0.25">
      <c r="B52" s="135" t="s">
        <v>10</v>
      </c>
      <c r="C52" s="212" t="s">
        <v>19</v>
      </c>
      <c r="D52" s="146"/>
      <c r="E52" s="240"/>
      <c r="F52" s="212" t="s">
        <v>19</v>
      </c>
      <c r="G52" s="29"/>
      <c r="H52" s="221"/>
      <c r="I52" s="29"/>
      <c r="J52" s="29"/>
    </row>
    <row r="53" spans="2:10" ht="47.25" x14ac:dyDescent="0.25">
      <c r="B53" s="136" t="s">
        <v>112</v>
      </c>
      <c r="C53" s="228" t="s">
        <v>202</v>
      </c>
      <c r="D53" s="137" t="s">
        <v>149</v>
      </c>
      <c r="E53" s="237">
        <v>4076.8860000000004</v>
      </c>
      <c r="F53" s="207"/>
      <c r="G53" s="27"/>
      <c r="H53" s="206"/>
      <c r="I53" s="279">
        <f>H53-E53</f>
        <v>-4076.8860000000004</v>
      </c>
      <c r="J53" s="280" t="s">
        <v>226</v>
      </c>
    </row>
    <row r="54" spans="2:10" ht="15.75" hidden="1" customHeight="1" x14ac:dyDescent="0.25">
      <c r="B54" s="144"/>
      <c r="C54" s="228"/>
      <c r="D54" s="235"/>
      <c r="E54" s="239"/>
      <c r="F54" s="238"/>
      <c r="G54" s="235"/>
      <c r="H54" s="223"/>
      <c r="I54" s="235"/>
      <c r="J54" s="235"/>
    </row>
    <row r="55" spans="2:10" ht="15.75" hidden="1" customHeight="1" x14ac:dyDescent="0.25">
      <c r="B55" s="145"/>
      <c r="C55" s="231"/>
      <c r="D55" s="27"/>
      <c r="E55" s="229"/>
      <c r="F55" s="207"/>
      <c r="G55" s="27"/>
      <c r="H55" s="206"/>
      <c r="I55" s="27"/>
      <c r="J55" s="27"/>
    </row>
    <row r="56" spans="2:10" ht="15.75" hidden="1" customHeight="1" x14ac:dyDescent="0.25">
      <c r="B56" s="136" t="s">
        <v>203</v>
      </c>
      <c r="C56" s="228" t="s">
        <v>202</v>
      </c>
      <c r="D56" s="136" t="s">
        <v>150</v>
      </c>
      <c r="E56" s="236">
        <v>4157.2006542000008</v>
      </c>
      <c r="F56" s="238"/>
      <c r="G56" s="30"/>
      <c r="H56" s="221"/>
      <c r="I56" s="30"/>
      <c r="J56" s="30"/>
    </row>
    <row r="57" spans="2:10" ht="15.75" hidden="1" customHeight="1" x14ac:dyDescent="0.25">
      <c r="B57" s="136" t="s">
        <v>204</v>
      </c>
      <c r="C57" s="228" t="s">
        <v>158</v>
      </c>
      <c r="D57" s="136" t="s">
        <v>151</v>
      </c>
      <c r="E57" s="236">
        <v>4267.9069076213464</v>
      </c>
      <c r="F57" s="218"/>
      <c r="G57" s="28"/>
      <c r="H57" s="214"/>
      <c r="I57" s="28"/>
      <c r="J57" s="28"/>
    </row>
    <row r="58" spans="2:10" ht="15.75" hidden="1" customHeight="1" x14ac:dyDescent="0.25">
      <c r="B58" s="136" t="s">
        <v>205</v>
      </c>
      <c r="C58" s="228" t="s">
        <v>158</v>
      </c>
      <c r="D58" s="136" t="s">
        <v>152</v>
      </c>
      <c r="E58" s="236">
        <v>4394.2369520869388</v>
      </c>
      <c r="F58" s="218"/>
      <c r="G58" s="28"/>
      <c r="H58" s="214"/>
      <c r="I58" s="28"/>
      <c r="J58" s="28"/>
    </row>
    <row r="59" spans="2:10" ht="15.75" hidden="1" customHeight="1" x14ac:dyDescent="0.25">
      <c r="B59" s="137" t="s">
        <v>206</v>
      </c>
      <c r="C59" s="231" t="s">
        <v>158</v>
      </c>
      <c r="D59" s="137" t="s">
        <v>153</v>
      </c>
      <c r="E59" s="237">
        <v>4524.3063658687124</v>
      </c>
      <c r="F59" s="207"/>
      <c r="G59" s="27"/>
      <c r="H59" s="206"/>
      <c r="I59" s="27"/>
      <c r="J59" s="27"/>
    </row>
    <row r="60" spans="2:10" x14ac:dyDescent="0.25">
      <c r="B60" s="135" t="s">
        <v>41</v>
      </c>
      <c r="C60" s="212" t="s">
        <v>22</v>
      </c>
      <c r="D60" s="28"/>
      <c r="E60" s="226"/>
      <c r="F60" s="212" t="s">
        <v>22</v>
      </c>
      <c r="G60" s="30"/>
      <c r="H60" s="221"/>
      <c r="I60" s="30"/>
      <c r="J60" s="30"/>
    </row>
    <row r="61" spans="2:10" ht="15.75" customHeight="1" x14ac:dyDescent="0.25">
      <c r="B61" s="136" t="s">
        <v>122</v>
      </c>
      <c r="C61" s="228" t="s">
        <v>207</v>
      </c>
      <c r="D61" s="340" t="s">
        <v>149</v>
      </c>
      <c r="E61" s="226">
        <v>1210.93</v>
      </c>
      <c r="F61" s="218"/>
      <c r="G61" s="28"/>
      <c r="H61" s="214"/>
      <c r="I61" s="138">
        <f>-E61</f>
        <v>-1210.93</v>
      </c>
      <c r="J61" s="351" t="s">
        <v>226</v>
      </c>
    </row>
    <row r="62" spans="2:10" ht="15.75" customHeight="1" x14ac:dyDescent="0.25">
      <c r="B62" s="136" t="s">
        <v>127</v>
      </c>
      <c r="C62" s="228" t="s">
        <v>208</v>
      </c>
      <c r="D62" s="341"/>
      <c r="E62" s="226">
        <v>1760.61</v>
      </c>
      <c r="F62" s="218"/>
      <c r="G62" s="28"/>
      <c r="H62" s="214"/>
      <c r="I62" s="138">
        <f t="shared" ref="I62:I63" si="0">-E62</f>
        <v>-1760.61</v>
      </c>
      <c r="J62" s="352"/>
    </row>
    <row r="63" spans="2:10" ht="15.75" customHeight="1" x14ac:dyDescent="0.25">
      <c r="B63" s="136" t="s">
        <v>209</v>
      </c>
      <c r="C63" s="228" t="s">
        <v>210</v>
      </c>
      <c r="D63" s="342"/>
      <c r="E63" s="229">
        <v>1325.55</v>
      </c>
      <c r="F63" s="218"/>
      <c r="G63" s="28"/>
      <c r="H63" s="206"/>
      <c r="I63" s="138">
        <f t="shared" si="0"/>
        <v>-1325.55</v>
      </c>
      <c r="J63" s="353"/>
    </row>
    <row r="64" spans="2:10" ht="15.75" hidden="1" customHeight="1" x14ac:dyDescent="0.25">
      <c r="B64" s="144"/>
      <c r="C64" s="228"/>
      <c r="D64" s="28"/>
      <c r="E64" s="239"/>
      <c r="F64" s="218"/>
      <c r="G64" s="28"/>
      <c r="H64" s="223"/>
      <c r="I64" s="28"/>
      <c r="J64" s="28"/>
    </row>
    <row r="65" spans="2:10" ht="15.75" hidden="1" customHeight="1" x14ac:dyDescent="0.25">
      <c r="B65" s="145"/>
      <c r="C65" s="231"/>
      <c r="D65" s="27"/>
      <c r="E65" s="229"/>
      <c r="F65" s="207"/>
      <c r="G65" s="27"/>
      <c r="H65" s="206"/>
      <c r="I65" s="27"/>
      <c r="J65" s="27"/>
    </row>
    <row r="66" spans="2:10" ht="15.75" hidden="1" customHeight="1" x14ac:dyDescent="0.25">
      <c r="B66" s="136" t="s">
        <v>211</v>
      </c>
      <c r="C66" s="230" t="s">
        <v>212</v>
      </c>
      <c r="D66" s="136" t="s">
        <v>150</v>
      </c>
      <c r="E66" s="239">
        <v>1162.6057499999999</v>
      </c>
      <c r="F66" s="238"/>
      <c r="G66" s="30"/>
      <c r="H66" s="221"/>
      <c r="I66" s="30"/>
      <c r="J66" s="30"/>
    </row>
    <row r="67" spans="2:10" ht="15.75" hidden="1" customHeight="1" x14ac:dyDescent="0.25">
      <c r="B67" s="136" t="s">
        <v>213</v>
      </c>
      <c r="C67" s="230" t="s">
        <v>214</v>
      </c>
      <c r="D67" s="136" t="s">
        <v>150</v>
      </c>
      <c r="E67" s="226">
        <v>1537.5622499999999</v>
      </c>
      <c r="F67" s="218"/>
      <c r="G67" s="28"/>
      <c r="H67" s="214"/>
      <c r="I67" s="28"/>
      <c r="J67" s="28"/>
    </row>
    <row r="68" spans="2:10" ht="15.75" hidden="1" customHeight="1" x14ac:dyDescent="0.25">
      <c r="B68" s="136" t="s">
        <v>215</v>
      </c>
      <c r="C68" s="228" t="s">
        <v>158</v>
      </c>
      <c r="D68" s="136" t="s">
        <v>150</v>
      </c>
      <c r="E68" s="226">
        <v>1681.5755043147474</v>
      </c>
      <c r="F68" s="218"/>
      <c r="G68" s="28"/>
      <c r="H68" s="214"/>
      <c r="I68" s="28"/>
      <c r="J68" s="28"/>
    </row>
    <row r="69" spans="2:10" ht="15.75" hidden="1" customHeight="1" x14ac:dyDescent="0.25">
      <c r="B69" s="136" t="s">
        <v>216</v>
      </c>
      <c r="C69" s="228" t="s">
        <v>158</v>
      </c>
      <c r="D69" s="136" t="s">
        <v>151</v>
      </c>
      <c r="E69" s="226">
        <v>4498.4293338346488</v>
      </c>
      <c r="F69" s="218"/>
      <c r="G69" s="28"/>
      <c r="H69" s="214"/>
      <c r="I69" s="28"/>
      <c r="J69" s="28"/>
    </row>
    <row r="70" spans="2:10" ht="15.75" hidden="1" customHeight="1" x14ac:dyDescent="0.25">
      <c r="B70" s="147" t="s">
        <v>217</v>
      </c>
      <c r="C70" s="228" t="s">
        <v>158</v>
      </c>
      <c r="D70" s="136" t="s">
        <v>152</v>
      </c>
      <c r="E70" s="226">
        <v>4631.582842116155</v>
      </c>
      <c r="F70" s="218"/>
      <c r="G70" s="141"/>
      <c r="H70" s="214"/>
      <c r="I70" s="141"/>
      <c r="J70" s="141"/>
    </row>
    <row r="71" spans="2:10" ht="15.75" hidden="1" customHeight="1" x14ac:dyDescent="0.25">
      <c r="B71" s="137" t="s">
        <v>218</v>
      </c>
      <c r="C71" s="231" t="s">
        <v>158</v>
      </c>
      <c r="D71" s="137" t="s">
        <v>153</v>
      </c>
      <c r="E71" s="229">
        <v>4768.6776942427932</v>
      </c>
      <c r="F71" s="207"/>
      <c r="G71" s="27"/>
      <c r="H71" s="206"/>
      <c r="I71" s="27"/>
      <c r="J71" s="27"/>
    </row>
    <row r="72" spans="2:10" ht="15.75" customHeight="1" x14ac:dyDescent="0.25">
      <c r="B72" s="132" t="s">
        <v>28</v>
      </c>
      <c r="C72" s="233"/>
      <c r="D72" s="9"/>
      <c r="E72" s="282">
        <f>E7+E17+E18+E19+E20+E28+E29+E36+E44+E53+E61+E62+E63</f>
        <v>28859.749061864411</v>
      </c>
      <c r="F72" s="227"/>
      <c r="G72" s="71"/>
      <c r="H72" s="282">
        <f>H7+H17+H18+H19+H20+H28+H29+H36+H44+H53+H61+H62+H63+H45</f>
        <v>201.90899999999999</v>
      </c>
      <c r="I72" s="281">
        <f>SUM(I7:I64)</f>
        <v>-28657.840061864412</v>
      </c>
      <c r="J72" s="132"/>
    </row>
    <row r="73" spans="2:10" ht="15.75" customHeight="1" x14ac:dyDescent="0.25">
      <c r="B73" s="10"/>
      <c r="C73" s="11"/>
      <c r="D73" s="12"/>
      <c r="F73" s="11"/>
      <c r="G73" s="12"/>
    </row>
    <row r="74" spans="2:10" ht="18" customHeight="1" x14ac:dyDescent="0.25">
      <c r="B74" s="356" t="s">
        <v>89</v>
      </c>
      <c r="C74" s="356"/>
      <c r="D74" s="356"/>
      <c r="E74" s="356"/>
      <c r="F74" s="356"/>
      <c r="G74" s="356"/>
      <c r="H74" s="356"/>
    </row>
    <row r="75" spans="2:10" ht="18" customHeight="1" x14ac:dyDescent="0.25">
      <c r="B75" s="349" t="s">
        <v>25</v>
      </c>
      <c r="C75" s="345" t="s">
        <v>87</v>
      </c>
      <c r="D75" s="345"/>
      <c r="E75" s="345"/>
      <c r="F75" s="345" t="s">
        <v>88</v>
      </c>
      <c r="G75" s="345"/>
      <c r="H75" s="345"/>
      <c r="I75" s="339" t="s">
        <v>219</v>
      </c>
      <c r="J75" s="339" t="s">
        <v>220</v>
      </c>
    </row>
    <row r="76" spans="2:10" ht="86.25" customHeight="1" x14ac:dyDescent="0.25">
      <c r="B76" s="350"/>
      <c r="C76" s="215" t="s">
        <v>26</v>
      </c>
      <c r="D76" s="9" t="s">
        <v>1</v>
      </c>
      <c r="E76" s="205" t="s">
        <v>27</v>
      </c>
      <c r="F76" s="215" t="s">
        <v>26</v>
      </c>
      <c r="G76" s="71" t="s">
        <v>1</v>
      </c>
      <c r="H76" s="205" t="s">
        <v>86</v>
      </c>
      <c r="I76" s="339"/>
      <c r="J76" s="339"/>
    </row>
    <row r="77" spans="2:10" x14ac:dyDescent="0.25">
      <c r="B77" s="71">
        <v>1</v>
      </c>
      <c r="C77" s="215">
        <f>B77+1</f>
        <v>2</v>
      </c>
      <c r="D77" s="71">
        <v>3</v>
      </c>
      <c r="E77" s="205">
        <v>4</v>
      </c>
      <c r="F77" s="205">
        <v>5</v>
      </c>
      <c r="G77" s="71">
        <v>6</v>
      </c>
      <c r="H77" s="205">
        <v>7</v>
      </c>
      <c r="I77" s="148">
        <v>8</v>
      </c>
      <c r="J77" s="148">
        <v>9</v>
      </c>
    </row>
    <row r="78" spans="2:10" x14ac:dyDescent="0.25">
      <c r="B78" s="13" t="s">
        <v>5</v>
      </c>
      <c r="C78" s="219"/>
      <c r="D78" s="13"/>
      <c r="E78" s="203"/>
      <c r="F78" s="219"/>
      <c r="G78" s="70"/>
      <c r="H78" s="203"/>
      <c r="I78" s="149"/>
      <c r="J78" s="149"/>
    </row>
    <row r="79" spans="2:10" x14ac:dyDescent="0.25">
      <c r="B79" s="14" t="s">
        <v>28</v>
      </c>
      <c r="C79" s="31"/>
      <c r="D79" s="15"/>
      <c r="E79" s="204"/>
      <c r="F79" s="72"/>
      <c r="G79" s="15"/>
      <c r="H79" s="283"/>
      <c r="I79" s="149"/>
      <c r="J79" s="149"/>
    </row>
    <row r="80" spans="2:10" ht="17.25" customHeight="1" x14ac:dyDescent="0.25">
      <c r="B80" s="344" t="s">
        <v>39</v>
      </c>
      <c r="C80" s="344"/>
      <c r="D80" s="344"/>
      <c r="E80" s="344"/>
      <c r="F80" s="344"/>
      <c r="G80" s="344"/>
      <c r="H80" s="344"/>
    </row>
    <row r="81" spans="2:10" ht="15.75" customHeight="1" x14ac:dyDescent="0.25">
      <c r="B81" s="16"/>
      <c r="C81" s="16"/>
      <c r="D81" s="16"/>
      <c r="F81" s="16"/>
      <c r="G81" s="16"/>
    </row>
    <row r="82" spans="2:10" ht="21" customHeight="1" x14ac:dyDescent="0.25">
      <c r="B82" s="348" t="s">
        <v>90</v>
      </c>
      <c r="C82" s="348"/>
      <c r="D82" s="348"/>
      <c r="E82" s="348"/>
      <c r="F82" s="348"/>
      <c r="G82" s="348"/>
      <c r="H82" s="348"/>
    </row>
    <row r="83" spans="2:10" ht="18" customHeight="1" x14ac:dyDescent="0.25">
      <c r="B83" s="349" t="s">
        <v>29</v>
      </c>
      <c r="C83" s="345" t="s">
        <v>87</v>
      </c>
      <c r="D83" s="345"/>
      <c r="E83" s="345"/>
      <c r="F83" s="345" t="s">
        <v>88</v>
      </c>
      <c r="G83" s="345"/>
      <c r="H83" s="345"/>
      <c r="I83" s="339" t="s">
        <v>219</v>
      </c>
      <c r="J83" s="339" t="s">
        <v>220</v>
      </c>
    </row>
    <row r="84" spans="2:10" ht="74.25" customHeight="1" x14ac:dyDescent="0.25">
      <c r="B84" s="350"/>
      <c r="C84" s="215" t="s">
        <v>26</v>
      </c>
      <c r="D84" s="9" t="s">
        <v>1</v>
      </c>
      <c r="E84" s="205" t="s">
        <v>27</v>
      </c>
      <c r="F84" s="215" t="s">
        <v>26</v>
      </c>
      <c r="G84" s="71" t="s">
        <v>1</v>
      </c>
      <c r="H84" s="205" t="s">
        <v>86</v>
      </c>
      <c r="I84" s="339"/>
      <c r="J84" s="339"/>
    </row>
    <row r="85" spans="2:10" x14ac:dyDescent="0.25">
      <c r="B85" s="71">
        <v>1</v>
      </c>
      <c r="C85" s="215">
        <f>B85+1</f>
        <v>2</v>
      </c>
      <c r="D85" s="71">
        <v>3</v>
      </c>
      <c r="E85" s="205">
        <v>4</v>
      </c>
      <c r="F85" s="205">
        <v>5</v>
      </c>
      <c r="G85" s="71">
        <v>6</v>
      </c>
      <c r="H85" s="205">
        <v>7</v>
      </c>
      <c r="I85" s="148">
        <v>8</v>
      </c>
      <c r="J85" s="148">
        <v>9</v>
      </c>
    </row>
    <row r="86" spans="2:10" x14ac:dyDescent="0.25">
      <c r="B86" s="13" t="s">
        <v>5</v>
      </c>
      <c r="C86" s="219"/>
      <c r="D86" s="13"/>
      <c r="E86" s="203"/>
      <c r="F86" s="219"/>
      <c r="G86" s="70"/>
      <c r="H86" s="203"/>
      <c r="I86" s="149"/>
      <c r="J86" s="149"/>
    </row>
    <row r="87" spans="2:10" x14ac:dyDescent="0.25">
      <c r="B87" s="14" t="s">
        <v>28</v>
      </c>
      <c r="C87" s="31"/>
      <c r="D87" s="15"/>
      <c r="E87" s="204"/>
      <c r="F87" s="72"/>
      <c r="G87" s="15"/>
      <c r="H87" s="283"/>
      <c r="I87" s="149"/>
      <c r="J87" s="149"/>
    </row>
    <row r="88" spans="2:10" ht="17.25" customHeight="1" x14ac:dyDescent="0.25">
      <c r="B88" s="344" t="s">
        <v>42</v>
      </c>
      <c r="C88" s="344"/>
      <c r="D88" s="344"/>
      <c r="E88" s="344"/>
      <c r="F88" s="344"/>
      <c r="G88" s="344"/>
      <c r="H88" s="344"/>
    </row>
    <row r="89" spans="2:10" x14ac:dyDescent="0.25">
      <c r="B89" s="10"/>
      <c r="C89" s="11"/>
      <c r="D89" s="12"/>
      <c r="F89" s="11"/>
      <c r="G89" s="12"/>
    </row>
    <row r="90" spans="2:10" x14ac:dyDescent="0.25">
      <c r="F90" s="124"/>
    </row>
    <row r="91" spans="2:10" x14ac:dyDescent="0.25">
      <c r="F91" s="124"/>
    </row>
    <row r="92" spans="2:10" x14ac:dyDescent="0.25">
      <c r="F92" s="124"/>
    </row>
    <row r="93" spans="2:10" x14ac:dyDescent="0.25">
      <c r="F93" s="124"/>
    </row>
    <row r="94" spans="2:10" x14ac:dyDescent="0.25">
      <c r="F94" s="124"/>
    </row>
    <row r="95" spans="2:10" x14ac:dyDescent="0.25">
      <c r="F95" s="124"/>
    </row>
    <row r="96" spans="2:10" x14ac:dyDescent="0.25">
      <c r="F96" s="124"/>
    </row>
    <row r="97" spans="6:6" x14ac:dyDescent="0.25">
      <c r="F97" s="124"/>
    </row>
  </sheetData>
  <mergeCells count="29">
    <mergeCell ref="B88:H88"/>
    <mergeCell ref="C75:E75"/>
    <mergeCell ref="D17:D20"/>
    <mergeCell ref="D28:D29"/>
    <mergeCell ref="D10:D12"/>
    <mergeCell ref="D30:D31"/>
    <mergeCell ref="F83:H83"/>
    <mergeCell ref="B82:H82"/>
    <mergeCell ref="C83:E83"/>
    <mergeCell ref="B83:B84"/>
    <mergeCell ref="B80:H80"/>
    <mergeCell ref="F75:H75"/>
    <mergeCell ref="B75:B76"/>
    <mergeCell ref="B74:H74"/>
    <mergeCell ref="I83:I84"/>
    <mergeCell ref="J83:J84"/>
    <mergeCell ref="D61:D63"/>
    <mergeCell ref="B1:J1"/>
    <mergeCell ref="I3:I4"/>
    <mergeCell ref="J3:J4"/>
    <mergeCell ref="I75:I76"/>
    <mergeCell ref="J75:J76"/>
    <mergeCell ref="B2:H2"/>
    <mergeCell ref="C3:E3"/>
    <mergeCell ref="F3:H3"/>
    <mergeCell ref="B3:B4"/>
    <mergeCell ref="J17:J20"/>
    <mergeCell ref="J28:J29"/>
    <mergeCell ref="J61:J63"/>
  </mergeCells>
  <phoneticPr fontId="3" type="noConversion"/>
  <printOptions horizontalCentered="1"/>
  <pageMargins left="0.39370078740157483" right="0.39370078740157483" top="0.6692913385826772" bottom="0.19685039370078741" header="0.11811023622047245" footer="0.11811023622047245"/>
  <pageSetup paperSize="9" scale="47" orientation="landscape" r:id="rId1"/>
  <headerFooter alignWithMargins="0"/>
  <rowBreaks count="1" manualBreakCount="1">
    <brk id="8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2"/>
  <sheetViews>
    <sheetView topLeftCell="B1" zoomScaleNormal="100" workbookViewId="0">
      <selection activeCell="H13" sqref="H13"/>
    </sheetView>
  </sheetViews>
  <sheetFormatPr defaultColWidth="9.140625" defaultRowHeight="15.75" x14ac:dyDescent="0.25"/>
  <cols>
    <col min="1" max="1" width="3.7109375" style="8" hidden="1" customWidth="1"/>
    <col min="2" max="2" width="5.140625" style="8" customWidth="1"/>
    <col min="3" max="3" width="35.140625" style="8" customWidth="1"/>
    <col min="4" max="5" width="15.140625" style="8" customWidth="1"/>
    <col min="6" max="6" width="36.42578125" style="8" customWidth="1"/>
    <col min="7" max="7" width="15.140625" style="8" customWidth="1"/>
    <col min="8" max="8" width="18.42578125" style="8" customWidth="1"/>
    <col min="9" max="9" width="24" style="8" customWidth="1"/>
    <col min="10" max="10" width="38.5703125" style="8" customWidth="1"/>
    <col min="11" max="16384" width="9.140625" style="8"/>
  </cols>
  <sheetData>
    <row r="1" spans="2:9" ht="16.5" customHeight="1" x14ac:dyDescent="0.25">
      <c r="B1" s="358" t="s">
        <v>91</v>
      </c>
      <c r="C1" s="358"/>
      <c r="D1" s="358"/>
      <c r="E1" s="358"/>
      <c r="F1" s="358"/>
      <c r="G1" s="358"/>
      <c r="H1" s="358"/>
    </row>
    <row r="2" spans="2:9" ht="18" customHeight="1" x14ac:dyDescent="0.25">
      <c r="B2" s="339" t="s">
        <v>221</v>
      </c>
      <c r="C2" s="345" t="s">
        <v>87</v>
      </c>
      <c r="D2" s="345"/>
      <c r="E2" s="345"/>
      <c r="F2" s="345" t="s">
        <v>88</v>
      </c>
      <c r="G2" s="345"/>
      <c r="H2" s="345"/>
    </row>
    <row r="3" spans="2:9" ht="37.5" customHeight="1" x14ac:dyDescent="0.25">
      <c r="B3" s="339"/>
      <c r="C3" s="347" t="s">
        <v>24</v>
      </c>
      <c r="D3" s="347" t="s">
        <v>30</v>
      </c>
      <c r="E3" s="205" t="s">
        <v>31</v>
      </c>
      <c r="F3" s="347" t="s">
        <v>24</v>
      </c>
      <c r="G3" s="347" t="s">
        <v>30</v>
      </c>
      <c r="H3" s="132" t="s">
        <v>31</v>
      </c>
    </row>
    <row r="4" spans="2:9" ht="18.75" customHeight="1" x14ac:dyDescent="0.25">
      <c r="B4" s="339"/>
      <c r="C4" s="357"/>
      <c r="D4" s="357"/>
      <c r="E4" s="132" t="s">
        <v>149</v>
      </c>
      <c r="F4" s="357"/>
      <c r="G4" s="357"/>
      <c r="H4" s="132" t="s">
        <v>149</v>
      </c>
    </row>
    <row r="5" spans="2:9" x14ac:dyDescent="0.25">
      <c r="B5" s="132">
        <v>1</v>
      </c>
      <c r="C5" s="132">
        <v>2</v>
      </c>
      <c r="D5" s="132">
        <v>3</v>
      </c>
      <c r="E5" s="132">
        <v>4</v>
      </c>
      <c r="F5" s="132">
        <v>5</v>
      </c>
      <c r="G5" s="132">
        <v>6</v>
      </c>
      <c r="H5" s="132">
        <v>7</v>
      </c>
    </row>
    <row r="6" spans="2:9" x14ac:dyDescent="0.25">
      <c r="B6" s="6" t="s">
        <v>5</v>
      </c>
      <c r="C6" s="7" t="s">
        <v>11</v>
      </c>
      <c r="D6" s="20" t="s">
        <v>3</v>
      </c>
      <c r="E6" s="67">
        <v>8129.034633809184</v>
      </c>
      <c r="F6" s="7" t="s">
        <v>11</v>
      </c>
      <c r="G6" s="20" t="s">
        <v>3</v>
      </c>
      <c r="H6" s="67">
        <v>7962.2926899999984</v>
      </c>
      <c r="I6" s="200"/>
    </row>
    <row r="7" spans="2:9" x14ac:dyDescent="0.25">
      <c r="B7" s="5" t="s">
        <v>6</v>
      </c>
      <c r="C7" s="1" t="s">
        <v>12</v>
      </c>
      <c r="D7" s="18" t="s">
        <v>3</v>
      </c>
      <c r="E7" s="67">
        <v>96518.528922995654</v>
      </c>
      <c r="F7" s="1" t="s">
        <v>12</v>
      </c>
      <c r="G7" s="18" t="s">
        <v>3</v>
      </c>
      <c r="H7" s="67">
        <v>112427.34836</v>
      </c>
      <c r="I7" s="200"/>
    </row>
    <row r="8" spans="2:9" x14ac:dyDescent="0.25">
      <c r="B8" s="3" t="s">
        <v>7</v>
      </c>
      <c r="C8" s="1" t="s">
        <v>13</v>
      </c>
      <c r="D8" s="18" t="s">
        <v>3</v>
      </c>
      <c r="E8" s="68">
        <v>4056.0023288018124</v>
      </c>
      <c r="F8" s="1" t="s">
        <v>13</v>
      </c>
      <c r="G8" s="18" t="s">
        <v>3</v>
      </c>
      <c r="H8" s="68">
        <v>3206.3113699999994</v>
      </c>
      <c r="I8" s="200"/>
    </row>
    <row r="9" spans="2:9" x14ac:dyDescent="0.25">
      <c r="B9" s="3" t="s">
        <v>8</v>
      </c>
      <c r="C9" s="1" t="s">
        <v>14</v>
      </c>
      <c r="D9" s="18" t="s">
        <v>3</v>
      </c>
      <c r="E9" s="67">
        <v>16857.005984867083</v>
      </c>
      <c r="F9" s="1" t="s">
        <v>14</v>
      </c>
      <c r="G9" s="18" t="s">
        <v>3</v>
      </c>
      <c r="H9" s="67">
        <v>14469.712740000001</v>
      </c>
      <c r="I9" s="200"/>
    </row>
    <row r="10" spans="2:9" x14ac:dyDescent="0.25">
      <c r="B10" s="3" t="s">
        <v>9</v>
      </c>
      <c r="C10" s="1" t="s">
        <v>15</v>
      </c>
      <c r="D10" s="18" t="s">
        <v>3</v>
      </c>
      <c r="E10" s="67">
        <v>10786.314680603004</v>
      </c>
      <c r="F10" s="1" t="s">
        <v>15</v>
      </c>
      <c r="G10" s="18" t="s">
        <v>3</v>
      </c>
      <c r="H10" s="67">
        <v>9394.4160400000001</v>
      </c>
      <c r="I10" s="200"/>
    </row>
    <row r="11" spans="2:9" s="17" customFormat="1" x14ac:dyDescent="0.25">
      <c r="B11" s="3" t="s">
        <v>10</v>
      </c>
      <c r="C11" s="1" t="s">
        <v>16</v>
      </c>
      <c r="D11" s="18" t="s">
        <v>3</v>
      </c>
      <c r="E11" s="67">
        <v>7515.4594792914568</v>
      </c>
      <c r="F11" s="1" t="s">
        <v>16</v>
      </c>
      <c r="G11" s="18" t="s">
        <v>3</v>
      </c>
      <c r="H11" s="67">
        <v>6688.8791300000012</v>
      </c>
      <c r="I11" s="201"/>
    </row>
    <row r="12" spans="2:9" x14ac:dyDescent="0.25">
      <c r="B12" s="3" t="s">
        <v>41</v>
      </c>
      <c r="C12" s="1" t="s">
        <v>17</v>
      </c>
      <c r="D12" s="18" t="s">
        <v>3</v>
      </c>
      <c r="E12" s="67">
        <v>2203.9873483506385</v>
      </c>
      <c r="F12" s="1" t="s">
        <v>17</v>
      </c>
      <c r="G12" s="18" t="s">
        <v>3</v>
      </c>
      <c r="H12" s="67">
        <v>2605.32431</v>
      </c>
      <c r="I12" s="200"/>
    </row>
    <row r="13" spans="2:9" x14ac:dyDescent="0.25">
      <c r="B13" s="3" t="s">
        <v>43</v>
      </c>
      <c r="C13" s="1" t="s">
        <v>18</v>
      </c>
      <c r="D13" s="18" t="s">
        <v>3</v>
      </c>
      <c r="E13" s="67">
        <v>1969.3449397223924</v>
      </c>
      <c r="F13" s="1" t="s">
        <v>18</v>
      </c>
      <c r="G13" s="18" t="s">
        <v>3</v>
      </c>
      <c r="H13" s="125">
        <v>3006.2103299999999</v>
      </c>
      <c r="I13" s="200"/>
    </row>
    <row r="14" spans="2:9" x14ac:dyDescent="0.25">
      <c r="B14" s="3" t="s">
        <v>44</v>
      </c>
      <c r="C14" s="1" t="s">
        <v>19</v>
      </c>
      <c r="D14" s="18" t="s">
        <v>3</v>
      </c>
      <c r="E14" s="67">
        <v>5296.0634225477152</v>
      </c>
      <c r="F14" s="1" t="s">
        <v>19</v>
      </c>
      <c r="G14" s="18" t="s">
        <v>3</v>
      </c>
      <c r="H14" s="125">
        <v>6124.3571699999993</v>
      </c>
      <c r="I14" s="200"/>
    </row>
    <row r="15" spans="2:9" x14ac:dyDescent="0.25">
      <c r="B15" s="3" t="s">
        <v>45</v>
      </c>
      <c r="C15" s="1" t="s">
        <v>20</v>
      </c>
      <c r="D15" s="18" t="s">
        <v>3</v>
      </c>
      <c r="E15" s="67">
        <v>10987.357169231509</v>
      </c>
      <c r="F15" s="1" t="s">
        <v>20</v>
      </c>
      <c r="G15" s="18" t="s">
        <v>3</v>
      </c>
      <c r="H15" s="125">
        <v>16154.96688</v>
      </c>
      <c r="I15" s="200"/>
    </row>
    <row r="16" spans="2:9" x14ac:dyDescent="0.25">
      <c r="B16" s="3" t="s">
        <v>46</v>
      </c>
      <c r="C16" s="1" t="s">
        <v>21</v>
      </c>
      <c r="D16" s="18" t="s">
        <v>3</v>
      </c>
      <c r="E16" s="67">
        <v>8483.3849376690087</v>
      </c>
      <c r="F16" s="1" t="s">
        <v>21</v>
      </c>
      <c r="G16" s="18" t="s">
        <v>3</v>
      </c>
      <c r="H16" s="125">
        <v>9052.6176599999999</v>
      </c>
      <c r="I16" s="200"/>
    </row>
    <row r="17" spans="2:9" x14ac:dyDescent="0.25">
      <c r="B17" s="3" t="s">
        <v>47</v>
      </c>
      <c r="C17" s="1" t="s">
        <v>22</v>
      </c>
      <c r="D17" s="18" t="s">
        <v>3</v>
      </c>
      <c r="E17" s="67">
        <v>23568.448320177296</v>
      </c>
      <c r="F17" s="1" t="s">
        <v>22</v>
      </c>
      <c r="G17" s="18" t="s">
        <v>3</v>
      </c>
      <c r="H17" s="125">
        <v>23845.505280000005</v>
      </c>
      <c r="I17" s="200"/>
    </row>
    <row r="18" spans="2:9" x14ac:dyDescent="0.25">
      <c r="B18" s="4" t="s">
        <v>48</v>
      </c>
      <c r="C18" s="2" t="s">
        <v>23</v>
      </c>
      <c r="D18" s="19" t="s">
        <v>3</v>
      </c>
      <c r="E18" s="69">
        <v>2123.2763033039218</v>
      </c>
      <c r="F18" s="2" t="s">
        <v>23</v>
      </c>
      <c r="G18" s="19" t="s">
        <v>3</v>
      </c>
      <c r="H18" s="126">
        <v>2067.8322899999998</v>
      </c>
      <c r="I18" s="200"/>
    </row>
    <row r="19" spans="2:9" x14ac:dyDescent="0.25">
      <c r="E19" s="124"/>
      <c r="H19" s="124"/>
    </row>
    <row r="20" spans="2:9" x14ac:dyDescent="0.25">
      <c r="F20" s="124"/>
    </row>
    <row r="21" spans="2:9" x14ac:dyDescent="0.25">
      <c r="F21" s="124"/>
    </row>
    <row r="22" spans="2:9" x14ac:dyDescent="0.25">
      <c r="F22" s="124"/>
    </row>
    <row r="23" spans="2:9" x14ac:dyDescent="0.25">
      <c r="F23" s="124"/>
    </row>
    <row r="24" spans="2:9" x14ac:dyDescent="0.25">
      <c r="F24" s="124"/>
    </row>
    <row r="25" spans="2:9" x14ac:dyDescent="0.25">
      <c r="F25" s="124"/>
    </row>
    <row r="26" spans="2:9" x14ac:dyDescent="0.25">
      <c r="F26" s="124"/>
    </row>
    <row r="27" spans="2:9" x14ac:dyDescent="0.25">
      <c r="F27" s="124"/>
    </row>
    <row r="28" spans="2:9" x14ac:dyDescent="0.25">
      <c r="F28" s="124"/>
    </row>
    <row r="29" spans="2:9" x14ac:dyDescent="0.25">
      <c r="F29" s="124"/>
    </row>
    <row r="30" spans="2:9" x14ac:dyDescent="0.25">
      <c r="F30" s="124"/>
    </row>
    <row r="31" spans="2:9" x14ac:dyDescent="0.25">
      <c r="F31" s="124"/>
    </row>
    <row r="32" spans="2:9" x14ac:dyDescent="0.25">
      <c r="F32" s="124"/>
    </row>
  </sheetData>
  <mergeCells count="8">
    <mergeCell ref="F3:F4"/>
    <mergeCell ref="G3:G4"/>
    <mergeCell ref="F2:H2"/>
    <mergeCell ref="B1:H1"/>
    <mergeCell ref="B2:B4"/>
    <mergeCell ref="C2:E2"/>
    <mergeCell ref="C3:C4"/>
    <mergeCell ref="D3:D4"/>
  </mergeCells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BC24"/>
  <sheetViews>
    <sheetView tabSelected="1" view="pageBreakPreview" zoomScale="60" zoomScaleNormal="80" workbookViewId="0">
      <pane xSplit="3" ySplit="5" topLeftCell="D6" activePane="bottomRight" state="frozen"/>
      <selection activeCell="C73" sqref="C73"/>
      <selection pane="topRight" activeCell="C73" sqref="C73"/>
      <selection pane="bottomLeft" activeCell="C73" sqref="C73"/>
      <selection pane="bottomRight" activeCell="BB19" sqref="BB19"/>
    </sheetView>
  </sheetViews>
  <sheetFormatPr defaultColWidth="9.140625" defaultRowHeight="12.75" x14ac:dyDescent="0.2"/>
  <cols>
    <col min="1" max="1" width="5.140625" style="21" customWidth="1"/>
    <col min="2" max="2" width="55.42578125" style="21" customWidth="1"/>
    <col min="3" max="3" width="12.140625" style="21" customWidth="1"/>
    <col min="4" max="5" width="10.28515625" style="21" customWidth="1"/>
    <col min="6" max="6" width="11.5703125" style="21" customWidth="1"/>
    <col min="7" max="7" width="13.28515625" style="21" customWidth="1"/>
    <col min="8" max="9" width="10.28515625" style="21" customWidth="1"/>
    <col min="10" max="10" width="11.5703125" style="21" customWidth="1"/>
    <col min="11" max="11" width="28.7109375" style="21" customWidth="1"/>
    <col min="12" max="13" width="10.28515625" style="21" customWidth="1"/>
    <col min="14" max="14" width="11.7109375" style="21" customWidth="1"/>
    <col min="15" max="15" width="11.85546875" style="21" customWidth="1"/>
    <col min="16" max="17" width="10.28515625" style="21" customWidth="1"/>
    <col min="18" max="19" width="12.42578125" style="21" customWidth="1"/>
    <col min="20" max="21" width="10.28515625" style="21" customWidth="1"/>
    <col min="22" max="22" width="11.85546875" style="21" customWidth="1"/>
    <col min="23" max="23" width="12.28515625" style="21" customWidth="1"/>
    <col min="24" max="25" width="10.28515625" style="21" customWidth="1"/>
    <col min="26" max="26" width="12" style="21" customWidth="1"/>
    <col min="27" max="27" width="11.140625" style="21" customWidth="1"/>
    <col min="28" max="29" width="10.28515625" style="21" customWidth="1"/>
    <col min="30" max="30" width="11.140625" style="21" customWidth="1"/>
    <col min="31" max="31" width="11.5703125" style="21" customWidth="1"/>
    <col min="32" max="33" width="10.28515625" style="21" customWidth="1"/>
    <col min="34" max="34" width="12.140625" style="21" customWidth="1"/>
    <col min="35" max="35" width="11" style="21" customWidth="1"/>
    <col min="36" max="37" width="10.28515625" style="21" customWidth="1"/>
    <col min="38" max="38" width="11" style="21" customWidth="1"/>
    <col min="39" max="39" width="11.7109375" style="21" customWidth="1"/>
    <col min="40" max="41" width="10.28515625" style="21" customWidth="1"/>
    <col min="42" max="42" width="11.42578125" style="21" customWidth="1"/>
    <col min="43" max="43" width="11.7109375" style="21" customWidth="1"/>
    <col min="44" max="45" width="10.28515625" style="21" customWidth="1"/>
    <col min="46" max="47" width="11.5703125" style="21" customWidth="1"/>
    <col min="48" max="49" width="10.28515625" style="21" customWidth="1"/>
    <col min="50" max="50" width="11.5703125" style="21" customWidth="1"/>
    <col min="51" max="51" width="11.7109375" style="21" customWidth="1"/>
    <col min="52" max="52" width="10.28515625" style="21" customWidth="1"/>
    <col min="53" max="53" width="9.28515625" style="21" customWidth="1"/>
    <col min="54" max="54" width="11.140625" style="21" customWidth="1"/>
    <col min="55" max="55" width="12.7109375" style="21" customWidth="1"/>
    <col min="56" max="16384" width="9.140625" style="21"/>
  </cols>
  <sheetData>
    <row r="1" spans="1:55" s="8" customFormat="1" ht="21" customHeight="1" x14ac:dyDescent="0.25">
      <c r="A1" s="291" t="s">
        <v>223</v>
      </c>
      <c r="B1" s="291"/>
      <c r="C1" s="29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  <c r="AO1" s="371"/>
      <c r="AP1" s="371"/>
      <c r="AQ1" s="371"/>
      <c r="AR1" s="371"/>
      <c r="AS1" s="371"/>
      <c r="AT1" s="371"/>
      <c r="AU1" s="371"/>
      <c r="AV1" s="371"/>
      <c r="AW1" s="371"/>
      <c r="AX1" s="371"/>
      <c r="AY1" s="371"/>
      <c r="AZ1" s="371"/>
    </row>
    <row r="2" spans="1:55" ht="16.5" customHeight="1" x14ac:dyDescent="0.2">
      <c r="A2" s="372" t="s">
        <v>29</v>
      </c>
      <c r="B2" s="372" t="s">
        <v>2</v>
      </c>
      <c r="C2" s="372" t="s">
        <v>30</v>
      </c>
      <c r="D2" s="359" t="s">
        <v>70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360"/>
      <c r="AS2" s="360"/>
      <c r="AT2" s="360"/>
      <c r="AU2" s="360"/>
      <c r="AV2" s="360"/>
      <c r="AW2" s="360"/>
      <c r="AX2" s="360"/>
      <c r="AY2" s="360"/>
      <c r="AZ2" s="360"/>
      <c r="BA2" s="360"/>
      <c r="BB2" s="360"/>
      <c r="BC2" s="361"/>
    </row>
    <row r="3" spans="1:55" ht="27" customHeight="1" x14ac:dyDescent="0.2">
      <c r="A3" s="373"/>
      <c r="B3" s="373"/>
      <c r="C3" s="373"/>
      <c r="D3" s="367" t="s">
        <v>11</v>
      </c>
      <c r="E3" s="368"/>
      <c r="F3" s="368"/>
      <c r="G3" s="369"/>
      <c r="H3" s="367" t="s">
        <v>12</v>
      </c>
      <c r="I3" s="368"/>
      <c r="J3" s="368"/>
      <c r="K3" s="369"/>
      <c r="L3" s="367" t="s">
        <v>13</v>
      </c>
      <c r="M3" s="368"/>
      <c r="N3" s="368"/>
      <c r="O3" s="369"/>
      <c r="P3" s="367" t="s">
        <v>14</v>
      </c>
      <c r="Q3" s="368"/>
      <c r="R3" s="368"/>
      <c r="S3" s="369"/>
      <c r="T3" s="367" t="s">
        <v>15</v>
      </c>
      <c r="U3" s="368"/>
      <c r="V3" s="368"/>
      <c r="W3" s="369"/>
      <c r="X3" s="367" t="s">
        <v>16</v>
      </c>
      <c r="Y3" s="368"/>
      <c r="Z3" s="368"/>
      <c r="AA3" s="369"/>
      <c r="AB3" s="367" t="s">
        <v>17</v>
      </c>
      <c r="AC3" s="368"/>
      <c r="AD3" s="368"/>
      <c r="AE3" s="369"/>
      <c r="AF3" s="367" t="s">
        <v>18</v>
      </c>
      <c r="AG3" s="368"/>
      <c r="AH3" s="368"/>
      <c r="AI3" s="369"/>
      <c r="AJ3" s="367" t="s">
        <v>19</v>
      </c>
      <c r="AK3" s="368"/>
      <c r="AL3" s="368"/>
      <c r="AM3" s="369"/>
      <c r="AN3" s="367" t="s">
        <v>20</v>
      </c>
      <c r="AO3" s="368"/>
      <c r="AP3" s="368"/>
      <c r="AQ3" s="369"/>
      <c r="AR3" s="367" t="s">
        <v>21</v>
      </c>
      <c r="AS3" s="368"/>
      <c r="AT3" s="368"/>
      <c r="AU3" s="369"/>
      <c r="AV3" s="367" t="s">
        <v>22</v>
      </c>
      <c r="AW3" s="368"/>
      <c r="AX3" s="368"/>
      <c r="AY3" s="369"/>
      <c r="AZ3" s="367" t="s">
        <v>23</v>
      </c>
      <c r="BA3" s="368"/>
      <c r="BB3" s="368"/>
      <c r="BC3" s="369"/>
    </row>
    <row r="4" spans="1:55" ht="12.75" customHeight="1" x14ac:dyDescent="0.2">
      <c r="A4" s="373"/>
      <c r="B4" s="373"/>
      <c r="C4" s="373"/>
      <c r="D4" s="370" t="s">
        <v>149</v>
      </c>
      <c r="E4" s="370"/>
      <c r="F4" s="365" t="s">
        <v>222</v>
      </c>
      <c r="G4" s="365" t="s">
        <v>224</v>
      </c>
      <c r="H4" s="370" t="s">
        <v>149</v>
      </c>
      <c r="I4" s="370"/>
      <c r="J4" s="365" t="s">
        <v>222</v>
      </c>
      <c r="K4" s="365" t="s">
        <v>224</v>
      </c>
      <c r="L4" s="370" t="s">
        <v>149</v>
      </c>
      <c r="M4" s="370"/>
      <c r="N4" s="365" t="s">
        <v>222</v>
      </c>
      <c r="O4" s="365" t="s">
        <v>224</v>
      </c>
      <c r="P4" s="370" t="s">
        <v>149</v>
      </c>
      <c r="Q4" s="370"/>
      <c r="R4" s="365" t="s">
        <v>222</v>
      </c>
      <c r="S4" s="365" t="s">
        <v>224</v>
      </c>
      <c r="T4" s="370" t="s">
        <v>149</v>
      </c>
      <c r="U4" s="370"/>
      <c r="V4" s="365" t="s">
        <v>222</v>
      </c>
      <c r="W4" s="365" t="s">
        <v>224</v>
      </c>
      <c r="X4" s="370" t="s">
        <v>149</v>
      </c>
      <c r="Y4" s="370"/>
      <c r="Z4" s="365" t="s">
        <v>222</v>
      </c>
      <c r="AA4" s="365" t="s">
        <v>224</v>
      </c>
      <c r="AB4" s="370" t="s">
        <v>149</v>
      </c>
      <c r="AC4" s="370"/>
      <c r="AD4" s="365" t="s">
        <v>222</v>
      </c>
      <c r="AE4" s="365" t="s">
        <v>224</v>
      </c>
      <c r="AF4" s="370" t="s">
        <v>149</v>
      </c>
      <c r="AG4" s="370"/>
      <c r="AH4" s="365" t="s">
        <v>222</v>
      </c>
      <c r="AI4" s="365" t="s">
        <v>224</v>
      </c>
      <c r="AJ4" s="370" t="s">
        <v>149</v>
      </c>
      <c r="AK4" s="370"/>
      <c r="AL4" s="365" t="s">
        <v>222</v>
      </c>
      <c r="AM4" s="365" t="s">
        <v>224</v>
      </c>
      <c r="AN4" s="370" t="s">
        <v>149</v>
      </c>
      <c r="AO4" s="370"/>
      <c r="AP4" s="365" t="s">
        <v>222</v>
      </c>
      <c r="AQ4" s="365" t="s">
        <v>224</v>
      </c>
      <c r="AR4" s="370" t="s">
        <v>149</v>
      </c>
      <c r="AS4" s="370"/>
      <c r="AT4" s="365" t="s">
        <v>222</v>
      </c>
      <c r="AU4" s="365" t="s">
        <v>224</v>
      </c>
      <c r="AV4" s="370" t="s">
        <v>149</v>
      </c>
      <c r="AW4" s="370"/>
      <c r="AX4" s="365" t="s">
        <v>222</v>
      </c>
      <c r="AY4" s="365" t="s">
        <v>224</v>
      </c>
      <c r="AZ4" s="370" t="s">
        <v>149</v>
      </c>
      <c r="BA4" s="370"/>
      <c r="BB4" s="365" t="s">
        <v>222</v>
      </c>
      <c r="BC4" s="365" t="s">
        <v>224</v>
      </c>
    </row>
    <row r="5" spans="1:55" ht="15.75" customHeight="1" x14ac:dyDescent="0.2">
      <c r="A5" s="374"/>
      <c r="B5" s="374"/>
      <c r="C5" s="374"/>
      <c r="D5" s="75" t="s">
        <v>82</v>
      </c>
      <c r="E5" s="75" t="s">
        <v>83</v>
      </c>
      <c r="F5" s="366"/>
      <c r="G5" s="366"/>
      <c r="H5" s="75" t="s">
        <v>82</v>
      </c>
      <c r="I5" s="75" t="s">
        <v>83</v>
      </c>
      <c r="J5" s="366"/>
      <c r="K5" s="366"/>
      <c r="L5" s="75" t="s">
        <v>82</v>
      </c>
      <c r="M5" s="75" t="s">
        <v>83</v>
      </c>
      <c r="N5" s="366"/>
      <c r="O5" s="366"/>
      <c r="P5" s="75" t="s">
        <v>82</v>
      </c>
      <c r="Q5" s="75" t="s">
        <v>83</v>
      </c>
      <c r="R5" s="366"/>
      <c r="S5" s="366"/>
      <c r="T5" s="75" t="s">
        <v>82</v>
      </c>
      <c r="U5" s="75" t="s">
        <v>83</v>
      </c>
      <c r="V5" s="366"/>
      <c r="W5" s="366"/>
      <c r="X5" s="75" t="s">
        <v>82</v>
      </c>
      <c r="Y5" s="75" t="s">
        <v>83</v>
      </c>
      <c r="Z5" s="366"/>
      <c r="AA5" s="366"/>
      <c r="AB5" s="75" t="s">
        <v>82</v>
      </c>
      <c r="AC5" s="75" t="s">
        <v>83</v>
      </c>
      <c r="AD5" s="366"/>
      <c r="AE5" s="366"/>
      <c r="AF5" s="75" t="s">
        <v>82</v>
      </c>
      <c r="AG5" s="75" t="s">
        <v>83</v>
      </c>
      <c r="AH5" s="366"/>
      <c r="AI5" s="366"/>
      <c r="AJ5" s="75" t="s">
        <v>82</v>
      </c>
      <c r="AK5" s="75" t="s">
        <v>83</v>
      </c>
      <c r="AL5" s="366"/>
      <c r="AM5" s="366"/>
      <c r="AN5" s="75" t="s">
        <v>82</v>
      </c>
      <c r="AO5" s="75" t="s">
        <v>83</v>
      </c>
      <c r="AP5" s="366"/>
      <c r="AQ5" s="366"/>
      <c r="AR5" s="75" t="s">
        <v>82</v>
      </c>
      <c r="AS5" s="75" t="s">
        <v>83</v>
      </c>
      <c r="AT5" s="366"/>
      <c r="AU5" s="366"/>
      <c r="AV5" s="75" t="s">
        <v>82</v>
      </c>
      <c r="AW5" s="75" t="s">
        <v>83</v>
      </c>
      <c r="AX5" s="366"/>
      <c r="AY5" s="366"/>
      <c r="AZ5" s="75" t="s">
        <v>82</v>
      </c>
      <c r="BA5" s="75" t="s">
        <v>83</v>
      </c>
      <c r="BB5" s="366"/>
      <c r="BC5" s="366"/>
    </row>
    <row r="6" spans="1:55" ht="12.75" customHeight="1" x14ac:dyDescent="0.2">
      <c r="A6" s="134">
        <v>1</v>
      </c>
      <c r="B6" s="22">
        <f>A6+1</f>
        <v>2</v>
      </c>
      <c r="C6" s="22">
        <f t="shared" ref="C6:D6" si="0">B6+1</f>
        <v>3</v>
      </c>
      <c r="D6" s="22">
        <f t="shared" si="0"/>
        <v>4</v>
      </c>
      <c r="E6" s="22">
        <f>D6+1</f>
        <v>5</v>
      </c>
      <c r="F6" s="22">
        <f t="shared" ref="F6:T6" si="1">E6+1</f>
        <v>6</v>
      </c>
      <c r="G6" s="22">
        <f t="shared" si="1"/>
        <v>7</v>
      </c>
      <c r="H6" s="22">
        <f t="shared" si="1"/>
        <v>8</v>
      </c>
      <c r="I6" s="22">
        <f t="shared" si="1"/>
        <v>9</v>
      </c>
      <c r="J6" s="22">
        <f t="shared" si="1"/>
        <v>10</v>
      </c>
      <c r="K6" s="22">
        <f t="shared" si="1"/>
        <v>11</v>
      </c>
      <c r="L6" s="22">
        <f t="shared" si="1"/>
        <v>12</v>
      </c>
      <c r="M6" s="22">
        <f t="shared" si="1"/>
        <v>13</v>
      </c>
      <c r="N6" s="22">
        <f t="shared" si="1"/>
        <v>14</v>
      </c>
      <c r="O6" s="22">
        <f t="shared" si="1"/>
        <v>15</v>
      </c>
      <c r="P6" s="22">
        <f t="shared" si="1"/>
        <v>16</v>
      </c>
      <c r="Q6" s="22">
        <f t="shared" si="1"/>
        <v>17</v>
      </c>
      <c r="R6" s="22">
        <f t="shared" si="1"/>
        <v>18</v>
      </c>
      <c r="S6" s="22">
        <f t="shared" si="1"/>
        <v>19</v>
      </c>
      <c r="T6" s="22">
        <f t="shared" si="1"/>
        <v>20</v>
      </c>
      <c r="U6" s="22">
        <f t="shared" ref="U6:BC6" si="2">T6+1</f>
        <v>21</v>
      </c>
      <c r="V6" s="22">
        <f t="shared" si="2"/>
        <v>22</v>
      </c>
      <c r="W6" s="22">
        <f t="shared" si="2"/>
        <v>23</v>
      </c>
      <c r="X6" s="22">
        <f t="shared" si="2"/>
        <v>24</v>
      </c>
      <c r="Y6" s="22">
        <f t="shared" si="2"/>
        <v>25</v>
      </c>
      <c r="Z6" s="22">
        <f t="shared" si="2"/>
        <v>26</v>
      </c>
      <c r="AA6" s="22">
        <f t="shared" si="2"/>
        <v>27</v>
      </c>
      <c r="AB6" s="22">
        <f t="shared" si="2"/>
        <v>28</v>
      </c>
      <c r="AC6" s="22">
        <f t="shared" si="2"/>
        <v>29</v>
      </c>
      <c r="AD6" s="22">
        <f t="shared" si="2"/>
        <v>30</v>
      </c>
      <c r="AE6" s="22">
        <f t="shared" si="2"/>
        <v>31</v>
      </c>
      <c r="AF6" s="22">
        <f t="shared" si="2"/>
        <v>32</v>
      </c>
      <c r="AG6" s="22">
        <f t="shared" si="2"/>
        <v>33</v>
      </c>
      <c r="AH6" s="22">
        <f t="shared" si="2"/>
        <v>34</v>
      </c>
      <c r="AI6" s="22">
        <f t="shared" si="2"/>
        <v>35</v>
      </c>
      <c r="AJ6" s="22">
        <f t="shared" si="2"/>
        <v>36</v>
      </c>
      <c r="AK6" s="22">
        <f t="shared" si="2"/>
        <v>37</v>
      </c>
      <c r="AL6" s="22">
        <v>38</v>
      </c>
      <c r="AM6" s="22">
        <v>39</v>
      </c>
      <c r="AN6" s="22">
        <v>40</v>
      </c>
      <c r="AO6" s="22">
        <f t="shared" si="2"/>
        <v>41</v>
      </c>
      <c r="AP6" s="22">
        <f t="shared" si="2"/>
        <v>42</v>
      </c>
      <c r="AQ6" s="22">
        <f t="shared" si="2"/>
        <v>43</v>
      </c>
      <c r="AR6" s="22">
        <f t="shared" si="2"/>
        <v>44</v>
      </c>
      <c r="AS6" s="22">
        <f t="shared" si="2"/>
        <v>45</v>
      </c>
      <c r="AT6" s="22">
        <f t="shared" si="2"/>
        <v>46</v>
      </c>
      <c r="AU6" s="22">
        <f t="shared" si="2"/>
        <v>47</v>
      </c>
      <c r="AV6" s="22">
        <f t="shared" si="2"/>
        <v>48</v>
      </c>
      <c r="AW6" s="22">
        <f t="shared" si="2"/>
        <v>49</v>
      </c>
      <c r="AX6" s="22">
        <f t="shared" si="2"/>
        <v>50</v>
      </c>
      <c r="AY6" s="22">
        <f t="shared" si="2"/>
        <v>51</v>
      </c>
      <c r="AZ6" s="22">
        <f t="shared" si="2"/>
        <v>52</v>
      </c>
      <c r="BA6" s="22">
        <f t="shared" si="2"/>
        <v>53</v>
      </c>
      <c r="BB6" s="22">
        <f t="shared" si="2"/>
        <v>54</v>
      </c>
      <c r="BC6" s="22">
        <f t="shared" si="2"/>
        <v>55</v>
      </c>
    </row>
    <row r="7" spans="1:55" ht="15.75" x14ac:dyDescent="0.2">
      <c r="A7" s="23" t="s">
        <v>67</v>
      </c>
      <c r="B7" s="362" t="s">
        <v>32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  <c r="AE7" s="363"/>
      <c r="AF7" s="363"/>
      <c r="AG7" s="363"/>
      <c r="AH7" s="363"/>
      <c r="AI7" s="363"/>
      <c r="AJ7" s="363"/>
      <c r="AK7" s="363"/>
      <c r="AL7" s="363"/>
      <c r="AM7" s="363"/>
      <c r="AN7" s="363"/>
      <c r="AO7" s="363"/>
      <c r="AP7" s="363"/>
      <c r="AQ7" s="363"/>
      <c r="AR7" s="363"/>
      <c r="AS7" s="363"/>
      <c r="AT7" s="363"/>
      <c r="AU7" s="363"/>
      <c r="AV7" s="363"/>
      <c r="AW7" s="363"/>
      <c r="AX7" s="363"/>
      <c r="AY7" s="363"/>
      <c r="AZ7" s="363"/>
      <c r="BA7" s="363"/>
      <c r="BB7" s="363"/>
      <c r="BC7" s="364"/>
    </row>
    <row r="8" spans="1:55" ht="112.5" customHeight="1" x14ac:dyDescent="0.2">
      <c r="A8" s="34">
        <v>1</v>
      </c>
      <c r="B8" s="40" t="s">
        <v>49</v>
      </c>
      <c r="C8" s="42" t="s">
        <v>4</v>
      </c>
      <c r="D8" s="158">
        <f>D9/D10*100</f>
        <v>0</v>
      </c>
      <c r="E8" s="199">
        <f>E9/E10*100</f>
        <v>29.166666666666668</v>
      </c>
      <c r="F8" s="158">
        <f>E8-D8</f>
        <v>29.166666666666668</v>
      </c>
      <c r="G8" s="199" t="s">
        <v>225</v>
      </c>
      <c r="H8" s="158">
        <f t="shared" ref="H8:AZ8" si="3">H9/H10*100</f>
        <v>0</v>
      </c>
      <c r="I8" s="199">
        <v>0</v>
      </c>
      <c r="J8" s="158">
        <f>I8-H8</f>
        <v>0</v>
      </c>
      <c r="K8" s="159"/>
      <c r="L8" s="158">
        <f t="shared" si="3"/>
        <v>0</v>
      </c>
      <c r="M8" s="199">
        <f t="shared" si="3"/>
        <v>0</v>
      </c>
      <c r="N8" s="158">
        <f>M8-L8</f>
        <v>0</v>
      </c>
      <c r="O8" s="159"/>
      <c r="P8" s="158">
        <f t="shared" si="3"/>
        <v>0</v>
      </c>
      <c r="Q8" s="199">
        <f t="shared" si="3"/>
        <v>36.84210526315789</v>
      </c>
      <c r="R8" s="158">
        <f>Q8-P8</f>
        <v>36.84210526315789</v>
      </c>
      <c r="S8" s="199" t="s">
        <v>225</v>
      </c>
      <c r="T8" s="158">
        <f t="shared" si="3"/>
        <v>0</v>
      </c>
      <c r="U8" s="199">
        <f t="shared" si="3"/>
        <v>12.5</v>
      </c>
      <c r="V8" s="158">
        <f>U8-T8</f>
        <v>12.5</v>
      </c>
      <c r="W8" s="199" t="s">
        <v>225</v>
      </c>
      <c r="X8" s="158">
        <f t="shared" si="3"/>
        <v>0</v>
      </c>
      <c r="Y8" s="199">
        <f t="shared" si="3"/>
        <v>37.5</v>
      </c>
      <c r="Z8" s="158">
        <f>Y8-X8</f>
        <v>37.5</v>
      </c>
      <c r="AA8" s="199" t="s">
        <v>225</v>
      </c>
      <c r="AB8" s="158">
        <f t="shared" si="3"/>
        <v>0</v>
      </c>
      <c r="AC8" s="199">
        <f t="shared" si="3"/>
        <v>50</v>
      </c>
      <c r="AD8" s="158">
        <f>AC8-AB8</f>
        <v>50</v>
      </c>
      <c r="AE8" s="199" t="s">
        <v>225</v>
      </c>
      <c r="AF8" s="158">
        <f t="shared" si="3"/>
        <v>0</v>
      </c>
      <c r="AG8" s="199">
        <f t="shared" si="3"/>
        <v>100</v>
      </c>
      <c r="AH8" s="158">
        <f>AG8-AF8</f>
        <v>100</v>
      </c>
      <c r="AI8" s="199" t="s">
        <v>225</v>
      </c>
      <c r="AJ8" s="158">
        <f t="shared" si="3"/>
        <v>0</v>
      </c>
      <c r="AK8" s="199">
        <f t="shared" si="3"/>
        <v>25</v>
      </c>
      <c r="AL8" s="158">
        <f>AK8-AJ8</f>
        <v>25</v>
      </c>
      <c r="AM8" s="199" t="s">
        <v>225</v>
      </c>
      <c r="AN8" s="158">
        <f t="shared" si="3"/>
        <v>0</v>
      </c>
      <c r="AO8" s="199">
        <f t="shared" si="3"/>
        <v>25</v>
      </c>
      <c r="AP8" s="158">
        <f>AO8-AN8</f>
        <v>25</v>
      </c>
      <c r="AQ8" s="199" t="s">
        <v>225</v>
      </c>
      <c r="AR8" s="158">
        <f t="shared" si="3"/>
        <v>0</v>
      </c>
      <c r="AS8" s="199">
        <f t="shared" si="3"/>
        <v>50</v>
      </c>
      <c r="AT8" s="158">
        <f>AS8-AR8</f>
        <v>50</v>
      </c>
      <c r="AU8" s="199" t="s">
        <v>225</v>
      </c>
      <c r="AV8" s="158">
        <f t="shared" si="3"/>
        <v>0</v>
      </c>
      <c r="AW8" s="199">
        <f t="shared" si="3"/>
        <v>3.125</v>
      </c>
      <c r="AX8" s="158">
        <f>AW8-AV8</f>
        <v>3.125</v>
      </c>
      <c r="AY8" s="199" t="s">
        <v>225</v>
      </c>
      <c r="AZ8" s="158">
        <f t="shared" si="3"/>
        <v>0</v>
      </c>
      <c r="BA8" s="199">
        <f>BA9/BA10*100</f>
        <v>60</v>
      </c>
      <c r="BB8" s="158">
        <f>BA8-AZ8</f>
        <v>60</v>
      </c>
      <c r="BC8" s="199" t="s">
        <v>225</v>
      </c>
    </row>
    <row r="9" spans="1:55" ht="51" customHeight="1" x14ac:dyDescent="0.2">
      <c r="A9" s="38" t="s">
        <v>33</v>
      </c>
      <c r="B9" s="36" t="s">
        <v>50</v>
      </c>
      <c r="C9" s="35" t="s">
        <v>51</v>
      </c>
      <c r="D9" s="77">
        <v>0</v>
      </c>
      <c r="E9" s="52">
        <v>7</v>
      </c>
      <c r="F9" s="77">
        <f t="shared" ref="F9:F10" si="4">E9-D9</f>
        <v>7</v>
      </c>
      <c r="G9" s="52"/>
      <c r="H9" s="77">
        <v>0</v>
      </c>
      <c r="I9" s="52">
        <v>0</v>
      </c>
      <c r="J9" s="77">
        <f t="shared" ref="J9:J11" si="5">I9-H9</f>
        <v>0</v>
      </c>
      <c r="K9" s="52"/>
      <c r="L9" s="77">
        <v>0</v>
      </c>
      <c r="M9" s="52">
        <v>0</v>
      </c>
      <c r="N9" s="77">
        <f t="shared" ref="N9:N11" si="6">M9-L9</f>
        <v>0</v>
      </c>
      <c r="O9" s="52"/>
      <c r="P9" s="77">
        <v>0</v>
      </c>
      <c r="Q9" s="52">
        <v>7</v>
      </c>
      <c r="R9" s="77">
        <f t="shared" ref="R9:R11" si="7">Q9-P9</f>
        <v>7</v>
      </c>
      <c r="S9" s="52"/>
      <c r="T9" s="77">
        <v>0</v>
      </c>
      <c r="U9" s="52">
        <v>2</v>
      </c>
      <c r="V9" s="77">
        <f t="shared" ref="V9:V11" si="8">U9-T9</f>
        <v>2</v>
      </c>
      <c r="W9" s="52"/>
      <c r="X9" s="77">
        <v>0</v>
      </c>
      <c r="Y9" s="52">
        <v>6</v>
      </c>
      <c r="Z9" s="77">
        <f t="shared" ref="Z9:Z11" si="9">Y9-X9</f>
        <v>6</v>
      </c>
      <c r="AA9" s="52"/>
      <c r="AB9" s="77">
        <v>0</v>
      </c>
      <c r="AC9" s="52">
        <v>8</v>
      </c>
      <c r="AD9" s="77">
        <f t="shared" ref="AD9:AD11" si="10">AC9-AB9</f>
        <v>8</v>
      </c>
      <c r="AE9" s="52"/>
      <c r="AF9" s="77">
        <v>0</v>
      </c>
      <c r="AG9" s="52">
        <v>8</v>
      </c>
      <c r="AH9" s="77">
        <f t="shared" ref="AH9:AH11" si="11">AG9-AF9</f>
        <v>8</v>
      </c>
      <c r="AI9" s="52"/>
      <c r="AJ9" s="77">
        <v>0</v>
      </c>
      <c r="AK9" s="52">
        <v>4</v>
      </c>
      <c r="AL9" s="77">
        <f t="shared" ref="AL9:AL11" si="12">AK9-AJ9</f>
        <v>4</v>
      </c>
      <c r="AM9" s="52"/>
      <c r="AN9" s="77">
        <v>0</v>
      </c>
      <c r="AO9" s="52">
        <v>3</v>
      </c>
      <c r="AP9" s="77">
        <f t="shared" ref="AP9:AP11" si="13">AO9-AN9</f>
        <v>3</v>
      </c>
      <c r="AQ9" s="52"/>
      <c r="AR9" s="77">
        <v>0</v>
      </c>
      <c r="AS9" s="52">
        <v>7</v>
      </c>
      <c r="AT9" s="77">
        <f t="shared" ref="AT9:AT11" si="14">AS9-AR9</f>
        <v>7</v>
      </c>
      <c r="AU9" s="52"/>
      <c r="AV9" s="77">
        <v>0</v>
      </c>
      <c r="AW9" s="52">
        <v>1</v>
      </c>
      <c r="AX9" s="77">
        <f t="shared" ref="AX9:AX11" si="15">AW9-AV9</f>
        <v>1</v>
      </c>
      <c r="AY9" s="52"/>
      <c r="AZ9" s="77">
        <v>0</v>
      </c>
      <c r="BA9" s="52">
        <v>6</v>
      </c>
      <c r="BB9" s="77">
        <f t="shared" ref="BB9:BB11" si="16">BA9-AZ9</f>
        <v>6</v>
      </c>
      <c r="BC9" s="52"/>
    </row>
    <row r="10" spans="1:55" ht="20.25" customHeight="1" x14ac:dyDescent="0.2">
      <c r="A10" s="38" t="s">
        <v>34</v>
      </c>
      <c r="B10" s="39" t="s">
        <v>52</v>
      </c>
      <c r="C10" s="35" t="s">
        <v>51</v>
      </c>
      <c r="D10" s="50">
        <v>24</v>
      </c>
      <c r="E10" s="153">
        <v>24</v>
      </c>
      <c r="F10" s="77">
        <f t="shared" si="4"/>
        <v>0</v>
      </c>
      <c r="G10" s="153"/>
      <c r="H10" s="50">
        <v>32</v>
      </c>
      <c r="I10" s="153">
        <v>32</v>
      </c>
      <c r="J10" s="77">
        <f t="shared" si="5"/>
        <v>0</v>
      </c>
      <c r="K10" s="153"/>
      <c r="L10" s="50">
        <v>16</v>
      </c>
      <c r="M10" s="153">
        <v>12</v>
      </c>
      <c r="N10" s="77">
        <f t="shared" si="6"/>
        <v>-4</v>
      </c>
      <c r="O10" s="153"/>
      <c r="P10" s="50">
        <v>24</v>
      </c>
      <c r="Q10" s="153">
        <v>19</v>
      </c>
      <c r="R10" s="77">
        <f t="shared" si="7"/>
        <v>-5</v>
      </c>
      <c r="S10" s="153"/>
      <c r="T10" s="50">
        <v>16</v>
      </c>
      <c r="U10" s="153">
        <v>16</v>
      </c>
      <c r="V10" s="77">
        <f t="shared" si="8"/>
        <v>0</v>
      </c>
      <c r="W10" s="153"/>
      <c r="X10" s="50">
        <v>16</v>
      </c>
      <c r="Y10" s="153">
        <v>16</v>
      </c>
      <c r="Z10" s="77">
        <f t="shared" si="9"/>
        <v>0</v>
      </c>
      <c r="AA10" s="153"/>
      <c r="AB10" s="50">
        <v>16</v>
      </c>
      <c r="AC10" s="153">
        <v>16</v>
      </c>
      <c r="AD10" s="77">
        <f t="shared" si="10"/>
        <v>0</v>
      </c>
      <c r="AE10" s="153"/>
      <c r="AF10" s="50">
        <v>16</v>
      </c>
      <c r="AG10" s="153">
        <v>8</v>
      </c>
      <c r="AH10" s="77">
        <f t="shared" si="11"/>
        <v>-8</v>
      </c>
      <c r="AI10" s="153"/>
      <c r="AJ10" s="50">
        <v>16</v>
      </c>
      <c r="AK10" s="153">
        <v>16</v>
      </c>
      <c r="AL10" s="77">
        <f t="shared" si="12"/>
        <v>0</v>
      </c>
      <c r="AM10" s="153"/>
      <c r="AN10" s="50">
        <v>16</v>
      </c>
      <c r="AO10" s="153">
        <v>12</v>
      </c>
      <c r="AP10" s="77">
        <f t="shared" si="13"/>
        <v>-4</v>
      </c>
      <c r="AQ10" s="153"/>
      <c r="AR10" s="50">
        <v>32</v>
      </c>
      <c r="AS10" s="153">
        <v>14</v>
      </c>
      <c r="AT10" s="77">
        <f t="shared" si="14"/>
        <v>-18</v>
      </c>
      <c r="AU10" s="153"/>
      <c r="AV10" s="50">
        <v>40</v>
      </c>
      <c r="AW10" s="153">
        <v>32</v>
      </c>
      <c r="AX10" s="77">
        <f t="shared" si="15"/>
        <v>-8</v>
      </c>
      <c r="AY10" s="153"/>
      <c r="AZ10" s="50">
        <v>16</v>
      </c>
      <c r="BA10" s="153">
        <v>10</v>
      </c>
      <c r="BB10" s="77">
        <f t="shared" si="16"/>
        <v>-6</v>
      </c>
      <c r="BC10" s="153"/>
    </row>
    <row r="11" spans="1:55" ht="81" customHeight="1" x14ac:dyDescent="0.2">
      <c r="A11" s="38" t="s">
        <v>53</v>
      </c>
      <c r="B11" s="39" t="s">
        <v>40</v>
      </c>
      <c r="C11" s="35" t="s">
        <v>4</v>
      </c>
      <c r="D11" s="77">
        <f>D12/D13*100</f>
        <v>0</v>
      </c>
      <c r="E11" s="199">
        <f>E12/E13*100</f>
        <v>56.25</v>
      </c>
      <c r="F11" s="77">
        <f>E11-D11</f>
        <v>56.25</v>
      </c>
      <c r="G11" s="199" t="s">
        <v>225</v>
      </c>
      <c r="H11" s="77">
        <f t="shared" ref="H11:AZ11" si="17">H12/H13*100</f>
        <v>0</v>
      </c>
      <c r="I11" s="199">
        <f t="shared" si="17"/>
        <v>0</v>
      </c>
      <c r="J11" s="77">
        <f t="shared" si="5"/>
        <v>0</v>
      </c>
      <c r="K11" s="52"/>
      <c r="L11" s="77">
        <f t="shared" si="17"/>
        <v>0</v>
      </c>
      <c r="M11" s="199">
        <f t="shared" si="17"/>
        <v>0</v>
      </c>
      <c r="N11" s="77">
        <f t="shared" si="6"/>
        <v>0</v>
      </c>
      <c r="O11" s="52"/>
      <c r="P11" s="77">
        <f t="shared" si="17"/>
        <v>0</v>
      </c>
      <c r="Q11" s="199">
        <f t="shared" si="17"/>
        <v>0</v>
      </c>
      <c r="R11" s="77">
        <f t="shared" si="7"/>
        <v>0</v>
      </c>
      <c r="S11" s="52"/>
      <c r="T11" s="77">
        <f t="shared" si="17"/>
        <v>0</v>
      </c>
      <c r="U11" s="199">
        <f t="shared" si="17"/>
        <v>0</v>
      </c>
      <c r="V11" s="77">
        <f t="shared" si="8"/>
        <v>0</v>
      </c>
      <c r="W11" s="52"/>
      <c r="X11" s="77">
        <f t="shared" si="17"/>
        <v>0</v>
      </c>
      <c r="Y11" s="199">
        <f>Y12/Y13*100</f>
        <v>37.5</v>
      </c>
      <c r="Z11" s="77">
        <f t="shared" si="9"/>
        <v>37.5</v>
      </c>
      <c r="AA11" s="199" t="s">
        <v>225</v>
      </c>
      <c r="AB11" s="77">
        <f t="shared" si="17"/>
        <v>0</v>
      </c>
      <c r="AC11" s="199">
        <f t="shared" si="17"/>
        <v>45.833333333333329</v>
      </c>
      <c r="AD11" s="77">
        <f t="shared" si="10"/>
        <v>45.833333333333329</v>
      </c>
      <c r="AE11" s="199" t="s">
        <v>225</v>
      </c>
      <c r="AF11" s="77">
        <f t="shared" si="17"/>
        <v>0</v>
      </c>
      <c r="AG11" s="199">
        <f t="shared" si="17"/>
        <v>100</v>
      </c>
      <c r="AH11" s="77">
        <f t="shared" si="11"/>
        <v>100</v>
      </c>
      <c r="AI11" s="199" t="s">
        <v>225</v>
      </c>
      <c r="AJ11" s="77">
        <f t="shared" si="17"/>
        <v>0</v>
      </c>
      <c r="AK11" s="199">
        <f t="shared" si="17"/>
        <v>16.666666666666664</v>
      </c>
      <c r="AL11" s="77">
        <f t="shared" si="12"/>
        <v>16.666666666666664</v>
      </c>
      <c r="AM11" s="199" t="s">
        <v>225</v>
      </c>
      <c r="AN11" s="77">
        <f t="shared" si="17"/>
        <v>0</v>
      </c>
      <c r="AO11" s="199">
        <f t="shared" si="17"/>
        <v>33.333333333333329</v>
      </c>
      <c r="AP11" s="77">
        <f t="shared" si="13"/>
        <v>33.333333333333329</v>
      </c>
      <c r="AQ11" s="199" t="s">
        <v>225</v>
      </c>
      <c r="AR11" s="77">
        <f t="shared" si="17"/>
        <v>0</v>
      </c>
      <c r="AS11" s="199">
        <f t="shared" si="17"/>
        <v>26.086956521739129</v>
      </c>
      <c r="AT11" s="77">
        <f t="shared" si="14"/>
        <v>26.086956521739129</v>
      </c>
      <c r="AU11" s="199" t="s">
        <v>225</v>
      </c>
      <c r="AV11" s="77">
        <f t="shared" si="17"/>
        <v>0</v>
      </c>
      <c r="AW11" s="199">
        <f t="shared" si="17"/>
        <v>8.3333333333333321</v>
      </c>
      <c r="AX11" s="77">
        <f t="shared" si="15"/>
        <v>8.3333333333333321</v>
      </c>
      <c r="AY11" s="199" t="s">
        <v>225</v>
      </c>
      <c r="AZ11" s="77">
        <f t="shared" si="17"/>
        <v>0</v>
      </c>
      <c r="BA11" s="199">
        <f>BA12/BA13*100</f>
        <v>60</v>
      </c>
      <c r="BB11" s="77">
        <f t="shared" si="16"/>
        <v>60</v>
      </c>
      <c r="BC11" s="199" t="s">
        <v>225</v>
      </c>
    </row>
    <row r="12" spans="1:55" ht="65.25" customHeight="1" x14ac:dyDescent="0.2">
      <c r="A12" s="38" t="s">
        <v>36</v>
      </c>
      <c r="B12" s="40" t="s">
        <v>54</v>
      </c>
      <c r="C12" s="35" t="s">
        <v>51</v>
      </c>
      <c r="D12" s="77">
        <v>0</v>
      </c>
      <c r="E12" s="52">
        <v>9</v>
      </c>
      <c r="F12" s="77">
        <f>E12-D12</f>
        <v>9</v>
      </c>
      <c r="G12" s="52"/>
      <c r="H12" s="77">
        <v>0</v>
      </c>
      <c r="I12" s="52">
        <v>0</v>
      </c>
      <c r="J12" s="77">
        <f>I12-H12</f>
        <v>0</v>
      </c>
      <c r="K12" s="52"/>
      <c r="L12" s="77">
        <v>0</v>
      </c>
      <c r="M12" s="52">
        <v>0</v>
      </c>
      <c r="N12" s="77">
        <f>M12-L12</f>
        <v>0</v>
      </c>
      <c r="O12" s="52"/>
      <c r="P12" s="77">
        <v>0</v>
      </c>
      <c r="Q12" s="52">
        <v>0</v>
      </c>
      <c r="R12" s="77">
        <f>Q12-P12</f>
        <v>0</v>
      </c>
      <c r="S12" s="52"/>
      <c r="T12" s="77">
        <v>0</v>
      </c>
      <c r="U12" s="52">
        <v>0</v>
      </c>
      <c r="V12" s="77">
        <f>U12-T12</f>
        <v>0</v>
      </c>
      <c r="W12" s="52"/>
      <c r="X12" s="77">
        <v>0</v>
      </c>
      <c r="Y12" s="52">
        <v>6</v>
      </c>
      <c r="Z12" s="77">
        <f>Y12-X12</f>
        <v>6</v>
      </c>
      <c r="AA12" s="52"/>
      <c r="AB12" s="77">
        <v>0</v>
      </c>
      <c r="AC12" s="52">
        <v>11</v>
      </c>
      <c r="AD12" s="77">
        <f>AC12-AB12</f>
        <v>11</v>
      </c>
      <c r="AE12" s="52"/>
      <c r="AF12" s="77">
        <v>0</v>
      </c>
      <c r="AG12" s="52">
        <v>4</v>
      </c>
      <c r="AH12" s="77">
        <f>AG12-AF12</f>
        <v>4</v>
      </c>
      <c r="AI12" s="52"/>
      <c r="AJ12" s="77">
        <v>0</v>
      </c>
      <c r="AK12" s="52">
        <v>2</v>
      </c>
      <c r="AL12" s="77">
        <f>AK12-AJ12</f>
        <v>2</v>
      </c>
      <c r="AM12" s="52"/>
      <c r="AN12" s="77">
        <v>0</v>
      </c>
      <c r="AO12" s="52">
        <v>6</v>
      </c>
      <c r="AP12" s="77">
        <f>AO12-AN12</f>
        <v>6</v>
      </c>
      <c r="AQ12" s="52"/>
      <c r="AR12" s="77">
        <v>0</v>
      </c>
      <c r="AS12" s="52">
        <v>6</v>
      </c>
      <c r="AT12" s="77">
        <f>AS12-AR12</f>
        <v>6</v>
      </c>
      <c r="AU12" s="52"/>
      <c r="AV12" s="77">
        <v>0</v>
      </c>
      <c r="AW12" s="52">
        <v>3</v>
      </c>
      <c r="AX12" s="77">
        <f>AW12-AV12</f>
        <v>3</v>
      </c>
      <c r="AY12" s="52"/>
      <c r="AZ12" s="77">
        <v>0</v>
      </c>
      <c r="BA12" s="52">
        <v>9</v>
      </c>
      <c r="BB12" s="77">
        <f>BA12-AZ12</f>
        <v>9</v>
      </c>
      <c r="BC12" s="52"/>
    </row>
    <row r="13" spans="1:55" ht="18" customHeight="1" x14ac:dyDescent="0.2">
      <c r="A13" s="37" t="s">
        <v>55</v>
      </c>
      <c r="B13" s="32" t="s">
        <v>52</v>
      </c>
      <c r="C13" s="33" t="s">
        <v>51</v>
      </c>
      <c r="D13" s="51">
        <v>24</v>
      </c>
      <c r="E13" s="154">
        <v>16</v>
      </c>
      <c r="F13" s="51">
        <f>E13-D13</f>
        <v>-8</v>
      </c>
      <c r="G13" s="154"/>
      <c r="H13" s="51">
        <v>28</v>
      </c>
      <c r="I13" s="154">
        <v>28</v>
      </c>
      <c r="J13" s="51">
        <f>I13-H13</f>
        <v>0</v>
      </c>
      <c r="K13" s="154"/>
      <c r="L13" s="51">
        <v>16</v>
      </c>
      <c r="M13" s="154">
        <v>12</v>
      </c>
      <c r="N13" s="51">
        <f>M13-L13</f>
        <v>-4</v>
      </c>
      <c r="O13" s="154"/>
      <c r="P13" s="51">
        <v>16</v>
      </c>
      <c r="Q13" s="154">
        <v>12</v>
      </c>
      <c r="R13" s="51">
        <f>Q13-P13</f>
        <v>-4</v>
      </c>
      <c r="S13" s="154"/>
      <c r="T13" s="51">
        <v>16</v>
      </c>
      <c r="U13" s="154">
        <v>16</v>
      </c>
      <c r="V13" s="51">
        <f>U13-T13</f>
        <v>0</v>
      </c>
      <c r="W13" s="154"/>
      <c r="X13" s="51">
        <v>16</v>
      </c>
      <c r="Y13" s="154">
        <v>16</v>
      </c>
      <c r="Z13" s="51">
        <f>Y13-X13</f>
        <v>0</v>
      </c>
      <c r="AA13" s="154"/>
      <c r="AB13" s="51">
        <v>24</v>
      </c>
      <c r="AC13" s="154">
        <v>24</v>
      </c>
      <c r="AD13" s="51">
        <f>AC13-AB13</f>
        <v>0</v>
      </c>
      <c r="AE13" s="154"/>
      <c r="AF13" s="51">
        <v>12</v>
      </c>
      <c r="AG13" s="154">
        <v>4</v>
      </c>
      <c r="AH13" s="51">
        <f>AG13-AF13</f>
        <v>-8</v>
      </c>
      <c r="AI13" s="154"/>
      <c r="AJ13" s="51">
        <v>12</v>
      </c>
      <c r="AK13" s="154">
        <v>12</v>
      </c>
      <c r="AL13" s="51">
        <f>AK13-AJ13</f>
        <v>0</v>
      </c>
      <c r="AM13" s="154"/>
      <c r="AN13" s="51">
        <v>24</v>
      </c>
      <c r="AO13" s="154">
        <v>18</v>
      </c>
      <c r="AP13" s="51">
        <f>AO13-AN13</f>
        <v>-6</v>
      </c>
      <c r="AQ13" s="154"/>
      <c r="AR13" s="51">
        <v>60</v>
      </c>
      <c r="AS13" s="154">
        <v>23</v>
      </c>
      <c r="AT13" s="51">
        <f>AS13-AR13</f>
        <v>-37</v>
      </c>
      <c r="AU13" s="154"/>
      <c r="AV13" s="51">
        <v>60</v>
      </c>
      <c r="AW13" s="154">
        <v>36</v>
      </c>
      <c r="AX13" s="51">
        <f>AW13-AV13</f>
        <v>-24</v>
      </c>
      <c r="AY13" s="154"/>
      <c r="AZ13" s="51">
        <v>16</v>
      </c>
      <c r="BA13" s="154">
        <v>15</v>
      </c>
      <c r="BB13" s="51">
        <f>BA13-AZ13</f>
        <v>-1</v>
      </c>
      <c r="BC13" s="154"/>
    </row>
    <row r="14" spans="1:55" ht="17.25" customHeight="1" x14ac:dyDescent="0.2">
      <c r="A14" s="24" t="s">
        <v>68</v>
      </c>
      <c r="B14" s="362" t="s">
        <v>35</v>
      </c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  <c r="BC14" s="364"/>
    </row>
    <row r="15" spans="1:55" ht="31.5" customHeight="1" x14ac:dyDescent="0.2">
      <c r="A15" s="34">
        <v>1</v>
      </c>
      <c r="B15" s="150" t="s">
        <v>56</v>
      </c>
      <c r="C15" s="42" t="s">
        <v>37</v>
      </c>
      <c r="D15" s="76">
        <f>D16/D17</f>
        <v>0</v>
      </c>
      <c r="E15" s="54">
        <v>0</v>
      </c>
      <c r="F15" s="76">
        <v>0</v>
      </c>
      <c r="G15" s="54"/>
      <c r="H15" s="76">
        <f>H16/H17</f>
        <v>0</v>
      </c>
      <c r="I15" s="54">
        <v>0</v>
      </c>
      <c r="J15" s="76">
        <v>0</v>
      </c>
      <c r="K15" s="54"/>
      <c r="L15" s="76">
        <f t="shared" ref="L15:AZ15" si="18">L16/L17</f>
        <v>0</v>
      </c>
      <c r="M15" s="54">
        <v>0</v>
      </c>
      <c r="N15" s="76">
        <v>0</v>
      </c>
      <c r="O15" s="54"/>
      <c r="P15" s="76">
        <f t="shared" si="18"/>
        <v>0</v>
      </c>
      <c r="Q15" s="54">
        <v>0</v>
      </c>
      <c r="R15" s="76">
        <v>0</v>
      </c>
      <c r="S15" s="54"/>
      <c r="T15" s="76">
        <f t="shared" si="18"/>
        <v>0</v>
      </c>
      <c r="U15" s="54">
        <v>0</v>
      </c>
      <c r="V15" s="76">
        <v>0</v>
      </c>
      <c r="W15" s="54"/>
      <c r="X15" s="76">
        <f t="shared" si="18"/>
        <v>0</v>
      </c>
      <c r="Y15" s="54">
        <v>0</v>
      </c>
      <c r="Z15" s="76">
        <v>0</v>
      </c>
      <c r="AA15" s="54"/>
      <c r="AB15" s="76">
        <f t="shared" si="18"/>
        <v>0</v>
      </c>
      <c r="AC15" s="54">
        <v>0</v>
      </c>
      <c r="AD15" s="76">
        <v>0</v>
      </c>
      <c r="AE15" s="54"/>
      <c r="AF15" s="76">
        <f t="shared" si="18"/>
        <v>0</v>
      </c>
      <c r="AG15" s="54">
        <v>0</v>
      </c>
      <c r="AH15" s="76">
        <v>0</v>
      </c>
      <c r="AI15" s="54"/>
      <c r="AJ15" s="76">
        <f t="shared" si="18"/>
        <v>0</v>
      </c>
      <c r="AK15" s="54">
        <v>0</v>
      </c>
      <c r="AL15" s="76">
        <v>0</v>
      </c>
      <c r="AM15" s="54"/>
      <c r="AN15" s="76">
        <f t="shared" si="18"/>
        <v>0</v>
      </c>
      <c r="AO15" s="54">
        <v>0</v>
      </c>
      <c r="AP15" s="76">
        <v>0</v>
      </c>
      <c r="AQ15" s="54"/>
      <c r="AR15" s="76">
        <f t="shared" si="18"/>
        <v>0</v>
      </c>
      <c r="AS15" s="54">
        <v>0</v>
      </c>
      <c r="AT15" s="76">
        <v>0</v>
      </c>
      <c r="AU15" s="54"/>
      <c r="AV15" s="76">
        <f t="shared" si="18"/>
        <v>0</v>
      </c>
      <c r="AW15" s="54">
        <v>0</v>
      </c>
      <c r="AX15" s="76">
        <v>0</v>
      </c>
      <c r="AY15" s="54"/>
      <c r="AZ15" s="76">
        <f t="shared" si="18"/>
        <v>0</v>
      </c>
      <c r="BA15" s="54">
        <v>0</v>
      </c>
      <c r="BB15" s="76">
        <v>0</v>
      </c>
      <c r="BC15" s="54"/>
    </row>
    <row r="16" spans="1:55" ht="219.75" customHeight="1" x14ac:dyDescent="0.2">
      <c r="A16" s="38" t="s">
        <v>33</v>
      </c>
      <c r="B16" s="39" t="s">
        <v>57</v>
      </c>
      <c r="C16" s="35" t="s">
        <v>51</v>
      </c>
      <c r="D16" s="77">
        <v>0</v>
      </c>
      <c r="E16" s="52">
        <v>0</v>
      </c>
      <c r="F16" s="77">
        <f>E16-D16</f>
        <v>0</v>
      </c>
      <c r="G16" s="52"/>
      <c r="H16" s="77">
        <v>0</v>
      </c>
      <c r="I16" s="52">
        <v>0</v>
      </c>
      <c r="J16" s="77">
        <f>I16-H16</f>
        <v>0</v>
      </c>
      <c r="K16" s="52"/>
      <c r="L16" s="77">
        <v>0</v>
      </c>
      <c r="M16" s="52">
        <v>0</v>
      </c>
      <c r="N16" s="77">
        <f>M16-L16</f>
        <v>0</v>
      </c>
      <c r="O16" s="52"/>
      <c r="P16" s="77">
        <v>0</v>
      </c>
      <c r="Q16" s="52">
        <v>0</v>
      </c>
      <c r="R16" s="77">
        <f>Q16-P16</f>
        <v>0</v>
      </c>
      <c r="S16" s="52"/>
      <c r="T16" s="77">
        <v>0</v>
      </c>
      <c r="U16" s="52">
        <v>0</v>
      </c>
      <c r="V16" s="77">
        <f>U16-T16</f>
        <v>0</v>
      </c>
      <c r="W16" s="52"/>
      <c r="X16" s="77">
        <v>0</v>
      </c>
      <c r="Y16" s="52">
        <v>0</v>
      </c>
      <c r="Z16" s="77">
        <f>Y16-X16</f>
        <v>0</v>
      </c>
      <c r="AA16" s="52"/>
      <c r="AB16" s="77">
        <v>0</v>
      </c>
      <c r="AC16" s="52">
        <v>0</v>
      </c>
      <c r="AD16" s="77">
        <f>AC16-AB16</f>
        <v>0</v>
      </c>
      <c r="AE16" s="52"/>
      <c r="AF16" s="77">
        <v>0</v>
      </c>
      <c r="AG16" s="52">
        <v>0</v>
      </c>
      <c r="AH16" s="77">
        <f>AG16-AF16</f>
        <v>0</v>
      </c>
      <c r="AI16" s="52"/>
      <c r="AJ16" s="77">
        <v>0</v>
      </c>
      <c r="AK16" s="52">
        <v>0</v>
      </c>
      <c r="AL16" s="77">
        <f>AK16-AJ16</f>
        <v>0</v>
      </c>
      <c r="AM16" s="52"/>
      <c r="AN16" s="77">
        <v>0</v>
      </c>
      <c r="AO16" s="52">
        <v>0</v>
      </c>
      <c r="AP16" s="77">
        <f>AO16-AN16</f>
        <v>0</v>
      </c>
      <c r="AQ16" s="52"/>
      <c r="AR16" s="77">
        <v>0</v>
      </c>
      <c r="AS16" s="52">
        <v>0</v>
      </c>
      <c r="AT16" s="77">
        <f>AS16-AR16</f>
        <v>0</v>
      </c>
      <c r="AU16" s="52"/>
      <c r="AV16" s="77">
        <v>0</v>
      </c>
      <c r="AW16" s="52">
        <v>0</v>
      </c>
      <c r="AX16" s="77">
        <f>AW16-AV16</f>
        <v>0</v>
      </c>
      <c r="AY16" s="52"/>
      <c r="AZ16" s="77">
        <v>0</v>
      </c>
      <c r="BA16" s="52">
        <v>0</v>
      </c>
      <c r="BB16" s="77">
        <f>BA16-AZ16</f>
        <v>0</v>
      </c>
      <c r="BC16" s="52"/>
    </row>
    <row r="17" spans="1:55" ht="20.25" customHeight="1" x14ac:dyDescent="0.2">
      <c r="A17" s="37" t="s">
        <v>34</v>
      </c>
      <c r="B17" s="151" t="s">
        <v>58</v>
      </c>
      <c r="C17" s="44" t="s">
        <v>59</v>
      </c>
      <c r="D17" s="78">
        <v>5.4377000000000004</v>
      </c>
      <c r="E17" s="155">
        <f>D17</f>
        <v>5.4377000000000004</v>
      </c>
      <c r="F17" s="78">
        <f>E17-D17</f>
        <v>0</v>
      </c>
      <c r="G17" s="155"/>
      <c r="H17" s="78">
        <f>(46.887-12.872)*0+34.264</f>
        <v>34.264000000000003</v>
      </c>
      <c r="I17" s="155">
        <f>H17</f>
        <v>34.264000000000003</v>
      </c>
      <c r="J17" s="78">
        <f>I17-H17</f>
        <v>0</v>
      </c>
      <c r="K17" s="155"/>
      <c r="L17" s="78">
        <v>1.7110000000000001</v>
      </c>
      <c r="M17" s="155">
        <f>L17</f>
        <v>1.7110000000000001</v>
      </c>
      <c r="N17" s="78">
        <f>M17-L17</f>
        <v>0</v>
      </c>
      <c r="O17" s="155"/>
      <c r="P17" s="78">
        <v>5.45</v>
      </c>
      <c r="Q17" s="155">
        <f>P17</f>
        <v>5.45</v>
      </c>
      <c r="R17" s="78">
        <f>Q17-P17</f>
        <v>0</v>
      </c>
      <c r="S17" s="155"/>
      <c r="T17" s="78">
        <v>8.5090000000000003</v>
      </c>
      <c r="U17" s="155">
        <f>T17</f>
        <v>8.5090000000000003</v>
      </c>
      <c r="V17" s="78">
        <f>U17-T17</f>
        <v>0</v>
      </c>
      <c r="W17" s="155"/>
      <c r="X17" s="78">
        <v>2.8695000000000004</v>
      </c>
      <c r="Y17" s="155">
        <f>X17</f>
        <v>2.8695000000000004</v>
      </c>
      <c r="Z17" s="78">
        <f>Y17-X17</f>
        <v>0</v>
      </c>
      <c r="AA17" s="155"/>
      <c r="AB17" s="78">
        <v>3.0844999999999998</v>
      </c>
      <c r="AC17" s="155">
        <f>AB17</f>
        <v>3.0844999999999998</v>
      </c>
      <c r="AD17" s="78">
        <f>AC17-AB17</f>
        <v>0</v>
      </c>
      <c r="AE17" s="155"/>
      <c r="AF17" s="78">
        <v>2.8849999999999998</v>
      </c>
      <c r="AG17" s="155">
        <f>AF17</f>
        <v>2.8849999999999998</v>
      </c>
      <c r="AH17" s="78">
        <f>AG17-AF17</f>
        <v>0</v>
      </c>
      <c r="AI17" s="155"/>
      <c r="AJ17" s="78">
        <v>8.2804000000000002</v>
      </c>
      <c r="AK17" s="155">
        <f>AJ17</f>
        <v>8.2804000000000002</v>
      </c>
      <c r="AL17" s="78">
        <f>AK17-AJ17</f>
        <v>0</v>
      </c>
      <c r="AM17" s="155"/>
      <c r="AN17" s="78">
        <v>3.5790000000000002</v>
      </c>
      <c r="AO17" s="155">
        <f>AN17</f>
        <v>3.5790000000000002</v>
      </c>
      <c r="AP17" s="78">
        <f>AO17-AN17</f>
        <v>0</v>
      </c>
      <c r="AQ17" s="155"/>
      <c r="AR17" s="78">
        <v>4.2149999999999999</v>
      </c>
      <c r="AS17" s="155">
        <f>AR17</f>
        <v>4.2149999999999999</v>
      </c>
      <c r="AT17" s="78">
        <f>AS17-AR17</f>
        <v>0</v>
      </c>
      <c r="AU17" s="155"/>
      <c r="AV17" s="78">
        <v>16.206199999999999</v>
      </c>
      <c r="AW17" s="155">
        <f>AV17</f>
        <v>16.206199999999999</v>
      </c>
      <c r="AX17" s="78">
        <f>AW17-AV17</f>
        <v>0</v>
      </c>
      <c r="AY17" s="155"/>
      <c r="AZ17" s="78">
        <v>5.2149999999999999</v>
      </c>
      <c r="BA17" s="155">
        <f>AZ17</f>
        <v>5.2149999999999999</v>
      </c>
      <c r="BB17" s="78">
        <f>BA17-AZ17</f>
        <v>0</v>
      </c>
      <c r="BC17" s="155"/>
    </row>
    <row r="18" spans="1:55" ht="15.75" customHeight="1" x14ac:dyDescent="0.2">
      <c r="A18" s="24" t="s">
        <v>69</v>
      </c>
      <c r="B18" s="362" t="s">
        <v>38</v>
      </c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3"/>
      <c r="AQ18" s="363"/>
      <c r="AR18" s="363"/>
      <c r="AS18" s="363"/>
      <c r="AT18" s="363"/>
      <c r="AU18" s="363"/>
      <c r="AV18" s="363"/>
      <c r="AW18" s="363"/>
      <c r="AX18" s="363"/>
      <c r="AY18" s="363"/>
      <c r="AZ18" s="363"/>
      <c r="BA18" s="363"/>
      <c r="BB18" s="363"/>
      <c r="BC18" s="364"/>
    </row>
    <row r="19" spans="1:55" ht="51.75" customHeight="1" x14ac:dyDescent="0.2">
      <c r="A19" s="45">
        <v>1</v>
      </c>
      <c r="B19" s="152" t="s">
        <v>60</v>
      </c>
      <c r="C19" s="42" t="s">
        <v>4</v>
      </c>
      <c r="D19" s="79">
        <f>D21/D20*100</f>
        <v>7.6509986319012739</v>
      </c>
      <c r="E19" s="25">
        <f>E21/E20*100</f>
        <v>0.8199124663251468</v>
      </c>
      <c r="F19" s="79">
        <f>E19-D19</f>
        <v>-6.831086165576127</v>
      </c>
      <c r="G19" s="25"/>
      <c r="H19" s="79">
        <f>H21/H20*100</f>
        <v>3.3470000332028174</v>
      </c>
      <c r="I19" s="25">
        <f>I21/I20*100</f>
        <v>38.563710657145002</v>
      </c>
      <c r="J19" s="79">
        <f>I19-H19</f>
        <v>35.216710623942184</v>
      </c>
      <c r="K19" s="25"/>
      <c r="L19" s="79">
        <f t="shared" ref="L19:AZ19" si="19">L21/L20*100</f>
        <v>3.7549969170249122</v>
      </c>
      <c r="M19" s="25">
        <f>M21/M20*100</f>
        <v>35.663456977179429</v>
      </c>
      <c r="N19" s="79">
        <f>M19-L19</f>
        <v>31.908460060154518</v>
      </c>
      <c r="O19" s="25"/>
      <c r="P19" s="79">
        <f t="shared" si="19"/>
        <v>3.1699998396067928</v>
      </c>
      <c r="Q19" s="25">
        <f>Q21/Q20*100</f>
        <v>5.1087412374292009</v>
      </c>
      <c r="R19" s="79">
        <f>Q19-P19</f>
        <v>1.9387413978224082</v>
      </c>
      <c r="S19" s="25"/>
      <c r="T19" s="79">
        <f t="shared" si="19"/>
        <v>6.1860011341060108</v>
      </c>
      <c r="U19" s="25">
        <f>U21/U20*100</f>
        <v>1.6629186279431829</v>
      </c>
      <c r="V19" s="79">
        <f>U19-T19</f>
        <v>-4.5230825061628277</v>
      </c>
      <c r="W19" s="25"/>
      <c r="X19" s="79">
        <f t="shared" si="19"/>
        <v>2.474998891537469</v>
      </c>
      <c r="Y19" s="25">
        <f>Y21/Y20*100</f>
        <v>2.4390193844313752</v>
      </c>
      <c r="Z19" s="79">
        <f>Y19-X19</f>
        <v>-3.5979507106093767E-2</v>
      </c>
      <c r="AA19" s="25"/>
      <c r="AB19" s="79">
        <f t="shared" si="19"/>
        <v>11.200000000000001</v>
      </c>
      <c r="AC19" s="25">
        <f>AC21/AC20*100</f>
        <v>1.8431124226612787</v>
      </c>
      <c r="AD19" s="79">
        <f>AC19-AB19</f>
        <v>-9.356887577338723</v>
      </c>
      <c r="AE19" s="25"/>
      <c r="AF19" s="79">
        <f t="shared" si="19"/>
        <v>17.607999999999997</v>
      </c>
      <c r="AG19" s="25">
        <f>AG21/AG20*100</f>
        <v>5.8529038461538461</v>
      </c>
      <c r="AH19" s="79">
        <f>AG19-AF19</f>
        <v>-11.75509615384615</v>
      </c>
      <c r="AI19" s="25"/>
      <c r="AJ19" s="79">
        <f t="shared" si="19"/>
        <v>9.7320000000000011</v>
      </c>
      <c r="AK19" s="25">
        <f>AK21/AK20*100</f>
        <v>19.569852486946395</v>
      </c>
      <c r="AL19" s="79">
        <f>AK19-AJ19</f>
        <v>9.8378524869463941</v>
      </c>
      <c r="AM19" s="25"/>
      <c r="AN19" s="79">
        <f t="shared" si="19"/>
        <v>9.226000092904739</v>
      </c>
      <c r="AO19" s="25">
        <f>AO21/AO20*100</f>
        <v>4.5974921882537387</v>
      </c>
      <c r="AP19" s="79">
        <f>AO19-AN19</f>
        <v>-4.6285079046510003</v>
      </c>
      <c r="AQ19" s="25"/>
      <c r="AR19" s="79">
        <f t="shared" si="19"/>
        <v>25.093999540384253</v>
      </c>
      <c r="AS19" s="25">
        <f>AS21/AS20*100</f>
        <v>3.6162389176443521</v>
      </c>
      <c r="AT19" s="79">
        <f>AS19-AR19</f>
        <v>-21.4777606227399</v>
      </c>
      <c r="AU19" s="25"/>
      <c r="AV19" s="79">
        <f t="shared" si="19"/>
        <v>5.1679999388334847</v>
      </c>
      <c r="AW19" s="25">
        <f>AW21/AW20*100</f>
        <v>8.006329632629777</v>
      </c>
      <c r="AX19" s="79">
        <f>AW19-AV19</f>
        <v>2.8383296937962923</v>
      </c>
      <c r="AY19" s="25"/>
      <c r="AZ19" s="79">
        <f t="shared" si="19"/>
        <v>24.298407157813472</v>
      </c>
      <c r="BA19" s="25">
        <f>BA21/BA20*100</f>
        <v>8.251320712283821</v>
      </c>
      <c r="BB19" s="79">
        <f>BA19-AZ19</f>
        <v>-16.047086445529651</v>
      </c>
      <c r="BC19" s="25"/>
    </row>
    <row r="20" spans="1:55" ht="18" customHeight="1" x14ac:dyDescent="0.2">
      <c r="A20" s="46" t="s">
        <v>33</v>
      </c>
      <c r="B20" s="41" t="s">
        <v>61</v>
      </c>
      <c r="C20" s="42" t="s">
        <v>71</v>
      </c>
      <c r="D20" s="26">
        <v>30.934170999999999</v>
      </c>
      <c r="E20" s="156">
        <f>'раздел 2'!G8/1000</f>
        <v>29.244745000000002</v>
      </c>
      <c r="F20" s="285">
        <f t="shared" ref="F20:F22" si="20">E20-D20</f>
        <v>-1.6894259999999974</v>
      </c>
      <c r="G20" s="156"/>
      <c r="H20" s="26">
        <v>260.21888000000001</v>
      </c>
      <c r="I20" s="156">
        <f>'раздел 2'!K8/1000</f>
        <v>120.56699999999999</v>
      </c>
      <c r="J20" s="285">
        <f t="shared" ref="J20:J24" si="21">I20-H20</f>
        <v>-139.65188000000001</v>
      </c>
      <c r="K20" s="156"/>
      <c r="L20" s="26">
        <v>18.579455999999997</v>
      </c>
      <c r="M20" s="156">
        <f>'раздел 2'!O8/1000</f>
        <v>31.310359999999999</v>
      </c>
      <c r="N20" s="285">
        <f t="shared" ref="N20:N24" si="22">M20-L20</f>
        <v>12.730904000000002</v>
      </c>
      <c r="O20" s="156"/>
      <c r="P20" s="26">
        <v>130.30476999999999</v>
      </c>
      <c r="Q20" s="156">
        <f>'раздел 2'!S8/1000</f>
        <v>144.76493745299999</v>
      </c>
      <c r="R20" s="285">
        <f t="shared" ref="R20:R24" si="23">Q20-P20</f>
        <v>14.460167452999997</v>
      </c>
      <c r="S20" s="156"/>
      <c r="T20" s="26">
        <v>22.973161000000001</v>
      </c>
      <c r="U20" s="156">
        <f>'раздел 2'!W8/1000</f>
        <v>19.7193</v>
      </c>
      <c r="V20" s="285">
        <f t="shared" ref="V20:V24" si="24">U20-T20</f>
        <v>-3.2538610000000006</v>
      </c>
      <c r="W20" s="156"/>
      <c r="X20" s="26">
        <v>15.156128000000001</v>
      </c>
      <c r="Y20" s="156">
        <f>'раздел 2'!AA8/1000</f>
        <v>13.930147589999999</v>
      </c>
      <c r="Z20" s="285">
        <f t="shared" ref="Z20:Z24" si="25">Y20-X20</f>
        <v>-1.2259804100000018</v>
      </c>
      <c r="AA20" s="156"/>
      <c r="AB20" s="26">
        <v>14.519779279279277</v>
      </c>
      <c r="AC20" s="156">
        <f>'раздел 2'!AE8/1000</f>
        <v>14.243026999999998</v>
      </c>
      <c r="AD20" s="285">
        <f t="shared" ref="AD20:AD24" si="26">AC20-AB20</f>
        <v>-0.27675227927927892</v>
      </c>
      <c r="AE20" s="156"/>
      <c r="AF20" s="26">
        <v>5.2639362649030463</v>
      </c>
      <c r="AG20" s="156">
        <f>'раздел 2'!AI8/1000</f>
        <v>5.2</v>
      </c>
      <c r="AH20" s="285">
        <f t="shared" ref="AH20:AH24" si="27">AG20-AF20</f>
        <v>-6.3936264903046158E-2</v>
      </c>
      <c r="AI20" s="156"/>
      <c r="AJ20" s="26">
        <v>46.168515035228431</v>
      </c>
      <c r="AK20" s="156">
        <f>'раздел 2'!AM8/1000</f>
        <v>48.070999999999998</v>
      </c>
      <c r="AL20" s="285">
        <f t="shared" ref="AL20:AL24" si="28">AK20-AJ20</f>
        <v>1.9024849647715669</v>
      </c>
      <c r="AM20" s="156"/>
      <c r="AN20" s="26">
        <v>33.066127999999999</v>
      </c>
      <c r="AO20" s="156">
        <f>'раздел 2'!AQ8/1000</f>
        <v>33.167999999999999</v>
      </c>
      <c r="AP20" s="285">
        <f t="shared" ref="AP20:AP24" si="29">AO20-AN20</f>
        <v>0.10187200000000018</v>
      </c>
      <c r="AQ20" s="156"/>
      <c r="AR20" s="26">
        <v>42.357122000000004</v>
      </c>
      <c r="AS20" s="156">
        <f>'раздел 2'!AU8/1000</f>
        <v>34.776000000000003</v>
      </c>
      <c r="AT20" s="285">
        <f t="shared" ref="AT20:AT24" si="30">AS20-AR20</f>
        <v>-7.5811220000000006</v>
      </c>
      <c r="AU20" s="156"/>
      <c r="AV20" s="26">
        <v>157.733361</v>
      </c>
      <c r="AW20" s="156">
        <f>'раздел 2'!AY8/1000</f>
        <v>175.3</v>
      </c>
      <c r="AX20" s="285">
        <f t="shared" ref="AX20:AX24" si="31">AW20-AV20</f>
        <v>17.566639000000009</v>
      </c>
      <c r="AY20" s="156"/>
      <c r="AZ20" s="26">
        <v>20.849271999999999</v>
      </c>
      <c r="BA20" s="156">
        <f>'раздел 2'!BC8/1000</f>
        <v>14.629</v>
      </c>
      <c r="BB20" s="285">
        <f t="shared" ref="BB20:BB24" si="32">BA20-AZ20</f>
        <v>-6.2202719999999996</v>
      </c>
      <c r="BC20" s="156"/>
    </row>
    <row r="21" spans="1:55" ht="35.25" customHeight="1" x14ac:dyDescent="0.2">
      <c r="A21" s="46" t="s">
        <v>34</v>
      </c>
      <c r="B21" s="36" t="s">
        <v>62</v>
      </c>
      <c r="C21" s="35" t="s">
        <v>71</v>
      </c>
      <c r="D21" s="26">
        <v>2.3667730000000002</v>
      </c>
      <c r="E21" s="156">
        <f>'раздел 2'!G14/1000</f>
        <v>0.23978131000000008</v>
      </c>
      <c r="F21" s="285">
        <f t="shared" si="20"/>
        <v>-2.1269916900000001</v>
      </c>
      <c r="G21" s="156"/>
      <c r="H21" s="26">
        <v>8.7095260000000003</v>
      </c>
      <c r="I21" s="156">
        <f>'раздел 2'!K14/1000</f>
        <v>46.495109028000009</v>
      </c>
      <c r="J21" s="285">
        <f t="shared" si="21"/>
        <v>37.785583028000005</v>
      </c>
      <c r="K21" s="156"/>
      <c r="L21" s="26">
        <v>0.697658</v>
      </c>
      <c r="M21" s="156">
        <f>'раздел 2'!O14/1000</f>
        <v>11.166356767999998</v>
      </c>
      <c r="N21" s="285">
        <f t="shared" si="22"/>
        <v>10.468698767999998</v>
      </c>
      <c r="O21" s="156"/>
      <c r="P21" s="26">
        <v>4.1306609999999999</v>
      </c>
      <c r="Q21" s="156">
        <f>'раздел 2'!S14/1000</f>
        <v>7.3956660570000006</v>
      </c>
      <c r="R21" s="285">
        <f t="shared" si="23"/>
        <v>3.2650050570000007</v>
      </c>
      <c r="S21" s="156"/>
      <c r="T21" s="26">
        <v>1.4211199999999999</v>
      </c>
      <c r="U21" s="156">
        <f>'раздел 2'!W14/1000</f>
        <v>0.32791591300000006</v>
      </c>
      <c r="V21" s="285">
        <f t="shared" si="24"/>
        <v>-1.0932040869999999</v>
      </c>
      <c r="W21" s="156"/>
      <c r="X21" s="26">
        <v>0.375114</v>
      </c>
      <c r="Y21" s="156">
        <f>'раздел 2'!AA14/1000</f>
        <v>0.33975900000000003</v>
      </c>
      <c r="Z21" s="285">
        <f t="shared" si="25"/>
        <v>-3.535499999999997E-2</v>
      </c>
      <c r="AA21" s="156"/>
      <c r="AB21" s="26">
        <v>1.626215279279279</v>
      </c>
      <c r="AC21" s="156">
        <f>'раздел 2'!AE14/1000</f>
        <v>0.262515</v>
      </c>
      <c r="AD21" s="285">
        <f t="shared" si="26"/>
        <v>-1.3637002792792789</v>
      </c>
      <c r="AE21" s="156"/>
      <c r="AF21" s="26">
        <v>0.9268738975241283</v>
      </c>
      <c r="AG21" s="156">
        <f>'раздел 2'!AI14/1000</f>
        <v>0.30435099999999998</v>
      </c>
      <c r="AH21" s="285">
        <f t="shared" si="27"/>
        <v>-0.62252289752412837</v>
      </c>
      <c r="AI21" s="156"/>
      <c r="AJ21" s="26">
        <v>4.4931198832284309</v>
      </c>
      <c r="AK21" s="156">
        <f>'раздел 2'!AM14/1000</f>
        <v>9.407423789000001</v>
      </c>
      <c r="AL21" s="285">
        <f t="shared" si="28"/>
        <v>4.9143039057715701</v>
      </c>
      <c r="AM21" s="156"/>
      <c r="AN21" s="26">
        <v>3.050681</v>
      </c>
      <c r="AO21" s="156">
        <f>'раздел 2'!AQ14/1000</f>
        <v>1.524896209</v>
      </c>
      <c r="AP21" s="285">
        <f t="shared" si="29"/>
        <v>-1.525784791</v>
      </c>
      <c r="AQ21" s="156"/>
      <c r="AR21" s="26">
        <v>10.629095999999999</v>
      </c>
      <c r="AS21" s="156">
        <f>'раздел 2'!AU14/1000</f>
        <v>1.257583246</v>
      </c>
      <c r="AT21" s="285">
        <f t="shared" si="30"/>
        <v>-9.3715127539999994</v>
      </c>
      <c r="AU21" s="156"/>
      <c r="AV21" s="26">
        <v>8.1516599999999997</v>
      </c>
      <c r="AW21" s="156">
        <f>'раздел 2'!AY14/1000</f>
        <v>14.035095846000001</v>
      </c>
      <c r="AX21" s="285">
        <f t="shared" si="31"/>
        <v>5.8834358460000011</v>
      </c>
      <c r="AY21" s="156"/>
      <c r="AZ21" s="26">
        <v>5.0660410000000002</v>
      </c>
      <c r="BA21" s="156">
        <f>'раздел 2'!BC14/1000</f>
        <v>1.2070857070000001</v>
      </c>
      <c r="BB21" s="285">
        <f t="shared" si="32"/>
        <v>-3.8589552930000002</v>
      </c>
      <c r="BC21" s="156"/>
    </row>
    <row r="22" spans="1:55" ht="63.75" customHeight="1" x14ac:dyDescent="0.2">
      <c r="A22" s="47">
        <v>2</v>
      </c>
      <c r="B22" s="56" t="s">
        <v>63</v>
      </c>
      <c r="C22" s="44" t="s">
        <v>64</v>
      </c>
      <c r="D22" s="80">
        <f>D23/D24</f>
        <v>1.912092617578147</v>
      </c>
      <c r="E22" s="53">
        <f>E23/E24</f>
        <v>1.4547570854182517</v>
      </c>
      <c r="F22" s="285">
        <f t="shared" si="20"/>
        <v>-0.45733553215989531</v>
      </c>
      <c r="G22" s="53"/>
      <c r="H22" s="80">
        <f>H23/H24</f>
        <v>3.2649694194185392</v>
      </c>
      <c r="I22" s="53">
        <f>I23/I24</f>
        <v>17.325014307397545</v>
      </c>
      <c r="J22" s="285">
        <f t="shared" si="21"/>
        <v>14.060044887979005</v>
      </c>
      <c r="K22" s="53"/>
      <c r="L22" s="80">
        <f t="shared" ref="L22:AV22" si="33">L23/L24</f>
        <v>2.8396956294091713</v>
      </c>
      <c r="M22" s="53">
        <f>M23/M24</f>
        <v>1.6250212389764924</v>
      </c>
      <c r="N22" s="285">
        <f t="shared" si="22"/>
        <v>-1.2146743904326789</v>
      </c>
      <c r="O22" s="53"/>
      <c r="P22" s="80">
        <f t="shared" si="33"/>
        <v>5.2300464518681862</v>
      </c>
      <c r="Q22" s="53">
        <f>Q23/Q24</f>
        <v>4.9922654802696025</v>
      </c>
      <c r="R22" s="285">
        <f t="shared" si="23"/>
        <v>-0.23778097159858369</v>
      </c>
      <c r="S22" s="53"/>
      <c r="T22" s="80">
        <f t="shared" ref="T22:X22" si="34">T23/T24</f>
        <v>13.358631839997987</v>
      </c>
      <c r="U22" s="53">
        <f t="shared" si="34"/>
        <v>12.0988067527752</v>
      </c>
      <c r="V22" s="285">
        <f t="shared" si="24"/>
        <v>-1.2598250872227865</v>
      </c>
      <c r="W22" s="53"/>
      <c r="X22" s="80">
        <f t="shared" si="34"/>
        <v>5.8175148692330918</v>
      </c>
      <c r="Y22" s="53">
        <f>Y23/Y24</f>
        <v>6.4298672660366281</v>
      </c>
      <c r="Z22" s="285">
        <f t="shared" si="25"/>
        <v>0.61235239680353626</v>
      </c>
      <c r="AA22" s="53"/>
      <c r="AB22" s="80">
        <f t="shared" ref="AB22:AK22" si="35">AB23/AB24</f>
        <v>2.5700803904955998</v>
      </c>
      <c r="AC22" s="53">
        <f t="shared" si="35"/>
        <v>5.5792915368341296</v>
      </c>
      <c r="AD22" s="285">
        <f t="shared" si="26"/>
        <v>3.0092111463385298</v>
      </c>
      <c r="AE22" s="53"/>
      <c r="AF22" s="80">
        <f t="shared" si="35"/>
        <v>2.4050443171984677</v>
      </c>
      <c r="AG22" s="53">
        <f t="shared" si="35"/>
        <v>2.2461538461538462</v>
      </c>
      <c r="AH22" s="285">
        <f t="shared" si="27"/>
        <v>-0.15889047104462151</v>
      </c>
      <c r="AI22" s="53"/>
      <c r="AJ22" s="80">
        <f t="shared" si="35"/>
        <v>1.9077936540257234</v>
      </c>
      <c r="AK22" s="53">
        <f t="shared" si="35"/>
        <v>1.817727944082711</v>
      </c>
      <c r="AL22" s="285">
        <f t="shared" si="28"/>
        <v>-9.006570994301244E-2</v>
      </c>
      <c r="AM22" s="53"/>
      <c r="AN22" s="80">
        <f t="shared" si="33"/>
        <v>5.0615542285446917</v>
      </c>
      <c r="AO22" s="53">
        <f>AO23/AO24</f>
        <v>3.0205318379160637</v>
      </c>
      <c r="AP22" s="285">
        <f t="shared" si="29"/>
        <v>-2.041022390628628</v>
      </c>
      <c r="AQ22" s="53"/>
      <c r="AR22" s="80">
        <f>AR23/AR24</f>
        <v>1.3634070794517152</v>
      </c>
      <c r="AS22" s="53">
        <f>AS23/AS24</f>
        <v>2.9344375431331948</v>
      </c>
      <c r="AT22" s="285">
        <f t="shared" si="30"/>
        <v>1.5710304636814796</v>
      </c>
      <c r="AU22" s="53"/>
      <c r="AV22" s="80">
        <f t="shared" si="33"/>
        <v>0.9766925590332155</v>
      </c>
      <c r="AW22" s="53">
        <f>AW23/AW24</f>
        <v>0.7555219623502567</v>
      </c>
      <c r="AX22" s="285">
        <f t="shared" si="31"/>
        <v>-0.2211705966829588</v>
      </c>
      <c r="AY22" s="53"/>
      <c r="AZ22" s="80">
        <f>AZ23/AZ24</f>
        <v>4.8223746133677956</v>
      </c>
      <c r="BA22" s="53">
        <f>BA23/BA24</f>
        <v>6.946886321689794</v>
      </c>
      <c r="BB22" s="285">
        <f t="shared" si="32"/>
        <v>2.1245117083219984</v>
      </c>
      <c r="BC22" s="53"/>
    </row>
    <row r="23" spans="1:55" ht="96.75" customHeight="1" x14ac:dyDescent="0.2">
      <c r="A23" s="46" t="s">
        <v>36</v>
      </c>
      <c r="B23" s="36" t="s">
        <v>65</v>
      </c>
      <c r="C23" s="35" t="s">
        <v>72</v>
      </c>
      <c r="D23" s="285">
        <f>'[32]Свод Канчалан'!$E$19</f>
        <v>59.149000000000001</v>
      </c>
      <c r="E23" s="286">
        <f>[18]ГОД!$G$19</f>
        <v>42.54399999999999</v>
      </c>
      <c r="F23" s="285">
        <f>E23-D23</f>
        <v>-16.605000000000011</v>
      </c>
      <c r="G23" s="286"/>
      <c r="H23" s="285">
        <v>849.60668555534255</v>
      </c>
      <c r="I23" s="286">
        <f>[21]ГОД!$G$19</f>
        <v>2088.8249999999998</v>
      </c>
      <c r="J23" s="285">
        <f>I23-H23</f>
        <v>1239.2183144446572</v>
      </c>
      <c r="K23" s="286" t="s">
        <v>228</v>
      </c>
      <c r="L23" s="285">
        <f>'[33]Свод Алькатваам'!$E$19</f>
        <v>52.76</v>
      </c>
      <c r="M23" s="286">
        <f>[22]ГОД!$G$19</f>
        <v>50.88000000000001</v>
      </c>
      <c r="N23" s="285">
        <f>M23-L23</f>
        <v>-1.8799999999999883</v>
      </c>
      <c r="O23" s="286"/>
      <c r="P23" s="285">
        <f>'[33]Свод Беринговский'!$E$19</f>
        <v>681.5</v>
      </c>
      <c r="Q23" s="286">
        <f>[23]ГОД!$G$19</f>
        <v>722.70499999999993</v>
      </c>
      <c r="R23" s="285">
        <f>Q23-P23</f>
        <v>41.204999999999927</v>
      </c>
      <c r="S23" s="286"/>
      <c r="T23" s="285">
        <f>'[33]Свод Мейныпильгино'!$E$19</f>
        <v>306.89</v>
      </c>
      <c r="U23" s="286">
        <f>[24]ГОД!$G$19</f>
        <v>238.58</v>
      </c>
      <c r="V23" s="285">
        <f>U23-T23</f>
        <v>-68.309999999999974</v>
      </c>
      <c r="W23" s="286"/>
      <c r="X23" s="285">
        <f>'[33]Свод Хатырка'!$E$19</f>
        <v>88.171000000000006</v>
      </c>
      <c r="Y23" s="286">
        <f>[25]ГОД!$G$19</f>
        <v>89.569000000000017</v>
      </c>
      <c r="Z23" s="285">
        <f>Y23-X23</f>
        <v>1.3980000000000103</v>
      </c>
      <c r="AA23" s="156"/>
      <c r="AB23" s="285">
        <f>'[34]Свод Ваеги'!$E$19</f>
        <v>37.317</v>
      </c>
      <c r="AC23" s="286">
        <f>[26]ГОД!$G$19</f>
        <v>79.465999999999994</v>
      </c>
      <c r="AD23" s="285">
        <f>AC23-AB23</f>
        <v>42.148999999999994</v>
      </c>
      <c r="AE23" s="286"/>
      <c r="AF23" s="285">
        <f>'[34]Свод Снежное'!$E$19</f>
        <v>12.66</v>
      </c>
      <c r="AG23" s="286">
        <f>[19]ГОД!$G$19</f>
        <v>11.680000000000001</v>
      </c>
      <c r="AH23" s="285">
        <f>AG23-AF23</f>
        <v>-0.97999999999999865</v>
      </c>
      <c r="AI23" s="156"/>
      <c r="AJ23" s="285">
        <f>'[34]Свод Марково'!$E$19</f>
        <v>88.08</v>
      </c>
      <c r="AK23" s="286">
        <f>[27]ГОД!$G$19</f>
        <v>87.38</v>
      </c>
      <c r="AL23" s="285">
        <f>AK23-AJ23</f>
        <v>-0.70000000000000284</v>
      </c>
      <c r="AM23" s="286"/>
      <c r="AN23" s="285">
        <f>'[34]Свод Усть-Белая'!$E$19</f>
        <v>167.36600000000001</v>
      </c>
      <c r="AO23" s="286">
        <f>[28]ГОД!$G$19</f>
        <v>100.185</v>
      </c>
      <c r="AP23" s="285">
        <f>AO23-AN23</f>
        <v>-67.181000000000012</v>
      </c>
      <c r="AQ23" s="286"/>
      <c r="AR23" s="285">
        <f>'[35]Свод Новое Чаплино'!$E$19</f>
        <v>57.75</v>
      </c>
      <c r="AS23" s="286">
        <f>[29]ГОД!$G$19</f>
        <v>102.04799999999999</v>
      </c>
      <c r="AT23" s="285">
        <f>AS23-AR23</f>
        <v>44.297999999999988</v>
      </c>
      <c r="AU23" s="286"/>
      <c r="AV23" s="285">
        <f>'[35]Свод Провидения'!$E$19</f>
        <v>154.05699999999999</v>
      </c>
      <c r="AW23" s="286">
        <f>[30]ГОД!$G$19</f>
        <v>132.44300000000001</v>
      </c>
      <c r="AX23" s="285">
        <f>AW23-AV23</f>
        <v>-21.613999999999976</v>
      </c>
      <c r="AY23" s="286"/>
      <c r="AZ23" s="285">
        <f>'[35]Свод Сиреники'!$E$19</f>
        <v>100.54300000000001</v>
      </c>
      <c r="BA23" s="156">
        <f>[20]ГОД!$G$19</f>
        <v>101.62599999999999</v>
      </c>
      <c r="BB23" s="285">
        <f>BA23-AZ23</f>
        <v>1.0829999999999842</v>
      </c>
      <c r="BC23" s="156"/>
    </row>
    <row r="24" spans="1:55" ht="17.25" customHeight="1" x14ac:dyDescent="0.2">
      <c r="A24" s="48" t="s">
        <v>55</v>
      </c>
      <c r="B24" s="49" t="s">
        <v>66</v>
      </c>
      <c r="C24" s="43" t="s">
        <v>71</v>
      </c>
      <c r="D24" s="55">
        <v>30.934170999999999</v>
      </c>
      <c r="E24" s="157">
        <f>'раздел 2'!G8/1000</f>
        <v>29.244745000000002</v>
      </c>
      <c r="F24" s="55">
        <f>E24-D24</f>
        <v>-1.6894259999999974</v>
      </c>
      <c r="G24" s="157"/>
      <c r="H24" s="55">
        <v>260.21888000000001</v>
      </c>
      <c r="I24" s="157">
        <f>I20</f>
        <v>120.56699999999999</v>
      </c>
      <c r="J24" s="55">
        <f t="shared" si="21"/>
        <v>-139.65188000000001</v>
      </c>
      <c r="K24" s="157"/>
      <c r="L24" s="55">
        <v>18.579455999999997</v>
      </c>
      <c r="M24" s="157">
        <f>M20</f>
        <v>31.310359999999999</v>
      </c>
      <c r="N24" s="55">
        <f t="shared" si="22"/>
        <v>12.730904000000002</v>
      </c>
      <c r="O24" s="157"/>
      <c r="P24" s="55">
        <v>130.30476999999999</v>
      </c>
      <c r="Q24" s="157">
        <f>Q20</f>
        <v>144.76493745299999</v>
      </c>
      <c r="R24" s="55">
        <f t="shared" si="23"/>
        <v>14.460167452999997</v>
      </c>
      <c r="S24" s="157"/>
      <c r="T24" s="55">
        <f>T20</f>
        <v>22.973161000000001</v>
      </c>
      <c r="U24" s="157">
        <f>U20</f>
        <v>19.7193</v>
      </c>
      <c r="V24" s="55">
        <f t="shared" si="24"/>
        <v>-3.2538610000000006</v>
      </c>
      <c r="W24" s="157"/>
      <c r="X24" s="55">
        <f>X20</f>
        <v>15.156128000000001</v>
      </c>
      <c r="Y24" s="157">
        <f>Y20</f>
        <v>13.930147589999999</v>
      </c>
      <c r="Z24" s="55">
        <f t="shared" si="25"/>
        <v>-1.2259804100000018</v>
      </c>
      <c r="AA24" s="157"/>
      <c r="AB24" s="55">
        <f>AB20</f>
        <v>14.519779279279277</v>
      </c>
      <c r="AC24" s="157">
        <f>AC20</f>
        <v>14.243026999999998</v>
      </c>
      <c r="AD24" s="55">
        <f t="shared" si="26"/>
        <v>-0.27675227927927892</v>
      </c>
      <c r="AE24" s="157"/>
      <c r="AF24" s="55">
        <f>AF20</f>
        <v>5.2639362649030463</v>
      </c>
      <c r="AG24" s="157">
        <f>AG20</f>
        <v>5.2</v>
      </c>
      <c r="AH24" s="55">
        <f t="shared" si="27"/>
        <v>-6.3936264903046158E-2</v>
      </c>
      <c r="AI24" s="157"/>
      <c r="AJ24" s="55">
        <f>AJ20</f>
        <v>46.168515035228431</v>
      </c>
      <c r="AK24" s="157">
        <f>AK20</f>
        <v>48.070999999999998</v>
      </c>
      <c r="AL24" s="55">
        <f t="shared" si="28"/>
        <v>1.9024849647715669</v>
      </c>
      <c r="AM24" s="157"/>
      <c r="AN24" s="55">
        <f>AN20</f>
        <v>33.066127999999999</v>
      </c>
      <c r="AO24" s="157">
        <f>AO20</f>
        <v>33.167999999999999</v>
      </c>
      <c r="AP24" s="55">
        <f t="shared" si="29"/>
        <v>0.10187200000000018</v>
      </c>
      <c r="AQ24" s="157"/>
      <c r="AR24" s="55">
        <f>AR20</f>
        <v>42.357122000000004</v>
      </c>
      <c r="AS24" s="157">
        <f>AS20</f>
        <v>34.776000000000003</v>
      </c>
      <c r="AT24" s="55">
        <f t="shared" si="30"/>
        <v>-7.5811220000000006</v>
      </c>
      <c r="AU24" s="157"/>
      <c r="AV24" s="55">
        <f>AV20</f>
        <v>157.733361</v>
      </c>
      <c r="AW24" s="157">
        <f>AW20</f>
        <v>175.3</v>
      </c>
      <c r="AX24" s="55">
        <f t="shared" si="31"/>
        <v>17.566639000000009</v>
      </c>
      <c r="AY24" s="157"/>
      <c r="AZ24" s="55">
        <f>AZ20</f>
        <v>20.849271999999999</v>
      </c>
      <c r="BA24" s="157">
        <f>BA20</f>
        <v>14.629</v>
      </c>
      <c r="BB24" s="55">
        <f t="shared" si="32"/>
        <v>-6.2202719999999996</v>
      </c>
      <c r="BC24" s="157"/>
    </row>
  </sheetData>
  <mergeCells count="60">
    <mergeCell ref="A1:AZ1"/>
    <mergeCell ref="A2:A5"/>
    <mergeCell ref="B2:B5"/>
    <mergeCell ref="C2:C5"/>
    <mergeCell ref="AZ4:BA4"/>
    <mergeCell ref="AB4:AC4"/>
    <mergeCell ref="AF4:AG4"/>
    <mergeCell ref="AJ4:AK4"/>
    <mergeCell ref="AN4:AO4"/>
    <mergeCell ref="AR4:AS4"/>
    <mergeCell ref="AV4:AW4"/>
    <mergeCell ref="AT4:AT5"/>
    <mergeCell ref="AU4:AU5"/>
    <mergeCell ref="L3:O3"/>
    <mergeCell ref="N4:N5"/>
    <mergeCell ref="O4:O5"/>
    <mergeCell ref="P3:S3"/>
    <mergeCell ref="R4:R5"/>
    <mergeCell ref="F4:F5"/>
    <mergeCell ref="G4:G5"/>
    <mergeCell ref="D3:G3"/>
    <mergeCell ref="H3:K3"/>
    <mergeCell ref="J4:J5"/>
    <mergeCell ref="K4:K5"/>
    <mergeCell ref="D4:E4"/>
    <mergeCell ref="H4:I4"/>
    <mergeCell ref="L4:M4"/>
    <mergeCell ref="P4:Q4"/>
    <mergeCell ref="T3:W3"/>
    <mergeCell ref="X3:AA3"/>
    <mergeCell ref="Z4:Z5"/>
    <mergeCell ref="AA4:AA5"/>
    <mergeCell ref="AB3:AE3"/>
    <mergeCell ref="AD4:AD5"/>
    <mergeCell ref="AE4:AE5"/>
    <mergeCell ref="T4:U4"/>
    <mergeCell ref="X4:Y4"/>
    <mergeCell ref="AL4:AL5"/>
    <mergeCell ref="AM4:AM5"/>
    <mergeCell ref="AP4:AP5"/>
    <mergeCell ref="AQ4:AQ5"/>
    <mergeCell ref="S4:S5"/>
    <mergeCell ref="V4:V5"/>
    <mergeCell ref="W4:W5"/>
    <mergeCell ref="D2:BC2"/>
    <mergeCell ref="B7:BC7"/>
    <mergeCell ref="B14:BC14"/>
    <mergeCell ref="B18:BC18"/>
    <mergeCell ref="AX4:AX5"/>
    <mergeCell ref="AY4:AY5"/>
    <mergeCell ref="BB4:BB5"/>
    <mergeCell ref="BC4:BC5"/>
    <mergeCell ref="AR3:AU3"/>
    <mergeCell ref="AV3:AY3"/>
    <mergeCell ref="AZ3:BC3"/>
    <mergeCell ref="AF3:AI3"/>
    <mergeCell ref="AH4:AH5"/>
    <mergeCell ref="AI4:AI5"/>
    <mergeCell ref="AJ3:AM3"/>
    <mergeCell ref="AN3:AQ3"/>
  </mergeCells>
  <printOptions horizontalCentered="1"/>
  <pageMargins left="0.39370078740157483" right="0.39370078740157483" top="0.9055118110236221" bottom="0.39370078740157483" header="0.31496062992125984" footer="0.31496062992125984"/>
  <pageSetup paperSize="9" scale="48" fitToWidth="3" orientation="landscape" r:id="rId1"/>
  <headerFooter alignWithMargins="0"/>
  <colBreaks count="2" manualBreakCount="2">
    <brk id="19" max="1048575" man="1"/>
    <brk id="3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раздел 5</vt:lpstr>
      <vt:lpstr>'раздел 2'!Заголовки_для_печати</vt:lpstr>
      <vt:lpstr>'раздел 5'!Заголовки_для_печати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2020-05-12T21:01:28Z</cp:lastPrinted>
  <dcterms:created xsi:type="dcterms:W3CDTF">1996-10-08T23:32:33Z</dcterms:created>
  <dcterms:modified xsi:type="dcterms:W3CDTF">2020-05-12T21:01:31Z</dcterms:modified>
</cp:coreProperties>
</file>